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37" r:id="rId8"/>
  </pivotCaches>
</workbook>
</file>

<file path=xl/calcChain.xml><?xml version="1.0" encoding="utf-8"?>
<calcChain xmlns="http://schemas.openxmlformats.org/spreadsheetml/2006/main">
  <c r="B4" i="1" l="1"/>
  <c r="G4" i="1" s="1"/>
  <c r="A4" i="1" s="1"/>
  <c r="AA4" i="1" s="1"/>
  <c r="H4" i="1"/>
  <c r="I4" i="1"/>
  <c r="N4" i="1"/>
  <c r="V4" i="1"/>
  <c r="W4" i="1" s="1"/>
  <c r="X4" i="1"/>
  <c r="Y4" i="1"/>
  <c r="Z4" i="1"/>
  <c r="S4" i="1" s="1"/>
  <c r="AC4" i="1"/>
  <c r="N3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B3" i="1"/>
  <c r="B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G184" i="1" l="1"/>
  <c r="A184" i="1" s="1"/>
  <c r="AA184" i="1" s="1"/>
  <c r="H184" i="1"/>
  <c r="I184" i="1"/>
  <c r="V184" i="1"/>
  <c r="W184" i="1" s="1"/>
  <c r="X184" i="1"/>
  <c r="Y184" i="1"/>
  <c r="Z184" i="1"/>
  <c r="S184" i="1" s="1"/>
  <c r="AC184" i="1"/>
  <c r="V9" i="1" l="1"/>
  <c r="V23" i="1"/>
  <c r="V26" i="1"/>
  <c r="V32" i="1"/>
  <c r="V41" i="1"/>
  <c r="V48" i="1"/>
  <c r="V50" i="1"/>
  <c r="V52" i="1"/>
  <c r="V54" i="1"/>
  <c r="V56" i="1"/>
  <c r="V58" i="1"/>
  <c r="V60" i="1"/>
  <c r="V71" i="1"/>
  <c r="V81" i="1"/>
  <c r="V83" i="1"/>
  <c r="V84" i="1"/>
  <c r="V87" i="1"/>
  <c r="V89" i="1"/>
  <c r="V93" i="1"/>
  <c r="V108" i="1"/>
  <c r="V120" i="1"/>
  <c r="V124" i="1"/>
  <c r="V126" i="1"/>
  <c r="V131" i="1"/>
  <c r="V136" i="1"/>
  <c r="V144" i="1"/>
  <c r="V146" i="1"/>
  <c r="V148" i="1"/>
  <c r="V150" i="1"/>
  <c r="V157" i="1"/>
  <c r="V168" i="1"/>
  <c r="V173" i="1"/>
  <c r="V175" i="1"/>
  <c r="V179" i="1"/>
  <c r="V181" i="1"/>
  <c r="V185" i="1"/>
  <c r="V192" i="1"/>
  <c r="V193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194" i="1"/>
  <c r="V186" i="1"/>
  <c r="V187" i="1" s="1"/>
  <c r="G141" i="1" l="1"/>
  <c r="A141" i="1" s="1"/>
  <c r="G143" i="1"/>
  <c r="A143" i="1" s="1"/>
  <c r="G142" i="1"/>
  <c r="A142" i="1" s="1"/>
  <c r="AA142" i="1" s="1"/>
  <c r="H141" i="1"/>
  <c r="H142" i="1"/>
  <c r="H143" i="1"/>
  <c r="I141" i="1"/>
  <c r="I142" i="1"/>
  <c r="I143" i="1"/>
  <c r="X141" i="1"/>
  <c r="Y141" i="1" s="1"/>
  <c r="Z141" i="1" s="1"/>
  <c r="S141" i="1" s="1"/>
  <c r="X142" i="1"/>
  <c r="Y142" i="1" s="1"/>
  <c r="Z142" i="1" s="1"/>
  <c r="S142" i="1" s="1"/>
  <c r="X143" i="1"/>
  <c r="Y143" i="1" s="1"/>
  <c r="Z143" i="1" s="1"/>
  <c r="S143" i="1" s="1"/>
  <c r="AC141" i="1"/>
  <c r="AC142" i="1"/>
  <c r="AC143" i="1"/>
  <c r="G136" i="1"/>
  <c r="A136" i="1" s="1"/>
  <c r="AA136" i="1" s="1"/>
  <c r="G138" i="1"/>
  <c r="A138" i="1" s="1"/>
  <c r="G139" i="1"/>
  <c r="A139" i="1" s="1"/>
  <c r="G140" i="1"/>
  <c r="A140" i="1" s="1"/>
  <c r="AA140" i="1" s="1"/>
  <c r="H136" i="1"/>
  <c r="H137" i="1"/>
  <c r="H138" i="1"/>
  <c r="H139" i="1"/>
  <c r="H140" i="1"/>
  <c r="I136" i="1"/>
  <c r="I137" i="1"/>
  <c r="I138" i="1"/>
  <c r="I139" i="1"/>
  <c r="I140" i="1"/>
  <c r="W136" i="1"/>
  <c r="X136" i="1"/>
  <c r="X137" i="1"/>
  <c r="Y137" i="1" s="1"/>
  <c r="Z137" i="1" s="1"/>
  <c r="S137" i="1" s="1"/>
  <c r="X138" i="1"/>
  <c r="Y138" i="1" s="1"/>
  <c r="Z138" i="1" s="1"/>
  <c r="S138" i="1" s="1"/>
  <c r="X139" i="1"/>
  <c r="X140" i="1"/>
  <c r="Y140" i="1" s="1"/>
  <c r="Z140" i="1" s="1"/>
  <c r="S140" i="1" s="1"/>
  <c r="Y136" i="1"/>
  <c r="Y139" i="1"/>
  <c r="Z139" i="1" s="1"/>
  <c r="S139" i="1" s="1"/>
  <c r="Z136" i="1"/>
  <c r="S136" i="1" s="1"/>
  <c r="AC136" i="1"/>
  <c r="AC137" i="1"/>
  <c r="AC138" i="1"/>
  <c r="AC139" i="1"/>
  <c r="AC140" i="1"/>
  <c r="G131" i="1"/>
  <c r="A131" i="1" s="1"/>
  <c r="AA131" i="1" s="1"/>
  <c r="H131" i="1"/>
  <c r="H132" i="1"/>
  <c r="I131" i="1"/>
  <c r="I132" i="1"/>
  <c r="W131" i="1"/>
  <c r="X131" i="1"/>
  <c r="X132" i="1"/>
  <c r="Y131" i="1"/>
  <c r="Y132" i="1"/>
  <c r="Z131" i="1"/>
  <c r="S131" i="1" s="1"/>
  <c r="Z132" i="1"/>
  <c r="S132" i="1" s="1"/>
  <c r="AC131" i="1"/>
  <c r="AC132" i="1"/>
  <c r="G133" i="1"/>
  <c r="A133" i="1" s="1"/>
  <c r="G134" i="1"/>
  <c r="A134" i="1" s="1"/>
  <c r="AA134" i="1" s="1"/>
  <c r="H133" i="1"/>
  <c r="H134" i="1"/>
  <c r="I133" i="1"/>
  <c r="I134" i="1"/>
  <c r="X133" i="1"/>
  <c r="X134" i="1"/>
  <c r="Y133" i="1"/>
  <c r="Y134" i="1"/>
  <c r="Z133" i="1"/>
  <c r="S133" i="1" s="1"/>
  <c r="Z134" i="1"/>
  <c r="S134" i="1" s="1"/>
  <c r="AC133" i="1"/>
  <c r="AC134" i="1"/>
  <c r="G135" i="1"/>
  <c r="A135" i="1" s="1"/>
  <c r="H135" i="1"/>
  <c r="I135" i="1"/>
  <c r="X135" i="1"/>
  <c r="Y135" i="1" s="1"/>
  <c r="Z135" i="1" s="1"/>
  <c r="S135" i="1" s="1"/>
  <c r="AC135" i="1"/>
  <c r="V188" i="1"/>
  <c r="V189" i="1" s="1"/>
  <c r="AA135" i="1" l="1"/>
  <c r="AA139" i="1"/>
  <c r="AA143" i="1"/>
  <c r="AA141" i="1"/>
  <c r="AA138" i="1"/>
  <c r="AA133" i="1"/>
  <c r="G108" i="1"/>
  <c r="A108" i="1" s="1"/>
  <c r="AA108" i="1" s="1"/>
  <c r="G110" i="1"/>
  <c r="A110" i="1" s="1"/>
  <c r="G112" i="1"/>
  <c r="A112" i="1" s="1"/>
  <c r="AA112" i="1" s="1"/>
  <c r="G114" i="1"/>
  <c r="A114" i="1" s="1"/>
  <c r="AA114" i="1" s="1"/>
  <c r="G116" i="1"/>
  <c r="A116" i="1" s="1"/>
  <c r="AA116" i="1" s="1"/>
  <c r="G118" i="1"/>
  <c r="A118" i="1" s="1"/>
  <c r="AA118" i="1" s="1"/>
  <c r="G120" i="1"/>
  <c r="A120" i="1" s="1"/>
  <c r="G122" i="1"/>
  <c r="A122" i="1" s="1"/>
  <c r="G124" i="1"/>
  <c r="A124" i="1" s="1"/>
  <c r="G126" i="1"/>
  <c r="A126" i="1" s="1"/>
  <c r="AA126" i="1" s="1"/>
  <c r="G128" i="1"/>
  <c r="A128" i="1" s="1"/>
  <c r="G129" i="1"/>
  <c r="A129" i="1" s="1"/>
  <c r="G130" i="1"/>
  <c r="A130" i="1" s="1"/>
  <c r="AA130" i="1" s="1"/>
  <c r="G144" i="1"/>
  <c r="A144" i="1" s="1"/>
  <c r="AA144" i="1" s="1"/>
  <c r="G146" i="1"/>
  <c r="A146" i="1" s="1"/>
  <c r="AA146" i="1" s="1"/>
  <c r="G150" i="1"/>
  <c r="A150" i="1" s="1"/>
  <c r="AA150" i="1" s="1"/>
  <c r="G152" i="1"/>
  <c r="A152" i="1" s="1"/>
  <c r="G153" i="1"/>
  <c r="A153" i="1" s="1"/>
  <c r="AA153" i="1" s="1"/>
  <c r="G154" i="1"/>
  <c r="A154" i="1" s="1"/>
  <c r="G155" i="1"/>
  <c r="A155" i="1" s="1"/>
  <c r="AA155" i="1" s="1"/>
  <c r="G157" i="1"/>
  <c r="A157" i="1" s="1"/>
  <c r="AA157" i="1" s="1"/>
  <c r="G159" i="1"/>
  <c r="A159" i="1" s="1"/>
  <c r="G160" i="1"/>
  <c r="A160" i="1" s="1"/>
  <c r="G161" i="1"/>
  <c r="A161" i="1" s="1"/>
  <c r="G162" i="1"/>
  <c r="A162" i="1" s="1"/>
  <c r="AA162" i="1" s="1"/>
  <c r="G163" i="1"/>
  <c r="A163" i="1" s="1"/>
  <c r="AA163" i="1" s="1"/>
  <c r="G165" i="1"/>
  <c r="A165" i="1" s="1"/>
  <c r="AA165" i="1" s="1"/>
  <c r="G166" i="1"/>
  <c r="A166" i="1" s="1"/>
  <c r="AA166" i="1" s="1"/>
  <c r="G167" i="1"/>
  <c r="A167" i="1" s="1"/>
  <c r="AA167" i="1" s="1"/>
  <c r="G168" i="1"/>
  <c r="A168" i="1" s="1"/>
  <c r="AA168" i="1" s="1"/>
  <c r="G170" i="1"/>
  <c r="A170" i="1" s="1"/>
  <c r="G171" i="1"/>
  <c r="A171" i="1" s="1"/>
  <c r="G173" i="1"/>
  <c r="A173" i="1" s="1"/>
  <c r="AA173" i="1" s="1"/>
  <c r="G175" i="1"/>
  <c r="A175" i="1" s="1"/>
  <c r="AA175" i="1" s="1"/>
  <c r="G177" i="1"/>
  <c r="A177" i="1" s="1"/>
  <c r="G178" i="1"/>
  <c r="A178" i="1" s="1"/>
  <c r="G179" i="1"/>
  <c r="A179" i="1" s="1"/>
  <c r="AA179" i="1" s="1"/>
  <c r="G181" i="1"/>
  <c r="A181" i="1" s="1"/>
  <c r="AA181" i="1" s="1"/>
  <c r="G183" i="1"/>
  <c r="A183" i="1" s="1"/>
  <c r="G186" i="1"/>
  <c r="A186" i="1" s="1"/>
  <c r="AA186" i="1" s="1"/>
  <c r="G187" i="1"/>
  <c r="A187" i="1" s="1"/>
  <c r="AA187" i="1" s="1"/>
  <c r="G188" i="1"/>
  <c r="A188" i="1" s="1"/>
  <c r="AA188" i="1" s="1"/>
  <c r="G189" i="1"/>
  <c r="A189" i="1" s="1"/>
  <c r="AA189" i="1" s="1"/>
  <c r="G190" i="1"/>
  <c r="A190" i="1" s="1"/>
  <c r="AA190" i="1" s="1"/>
  <c r="G191" i="1"/>
  <c r="A191" i="1" s="1"/>
  <c r="AA191" i="1" s="1"/>
  <c r="G192" i="1"/>
  <c r="A192" i="1" s="1"/>
  <c r="AA192" i="1" s="1"/>
  <c r="G193" i="1"/>
  <c r="A193" i="1" s="1"/>
  <c r="G194" i="1"/>
  <c r="A194" i="1" s="1"/>
  <c r="AA194" i="1" s="1"/>
  <c r="G195" i="1"/>
  <c r="A195" i="1" s="1"/>
  <c r="AA195" i="1" s="1"/>
  <c r="G196" i="1"/>
  <c r="A196" i="1" s="1"/>
  <c r="AA196" i="1" s="1"/>
  <c r="G197" i="1"/>
  <c r="A197" i="1" s="1"/>
  <c r="AA197" i="1" s="1"/>
  <c r="G198" i="1"/>
  <c r="A198" i="1" s="1"/>
  <c r="AA198" i="1" s="1"/>
  <c r="G199" i="1"/>
  <c r="A199" i="1" s="1"/>
  <c r="AA199" i="1" s="1"/>
  <c r="G200" i="1"/>
  <c r="A200" i="1" s="1"/>
  <c r="AA200" i="1" s="1"/>
  <c r="G201" i="1"/>
  <c r="A201" i="1" s="1"/>
  <c r="AA201" i="1" s="1"/>
  <c r="G202" i="1"/>
  <c r="A202" i="1" s="1"/>
  <c r="AA202" i="1" s="1"/>
  <c r="G203" i="1"/>
  <c r="A203" i="1" s="1"/>
  <c r="AA203" i="1" s="1"/>
  <c r="G204" i="1"/>
  <c r="A204" i="1" s="1"/>
  <c r="AA204" i="1" s="1"/>
  <c r="G205" i="1"/>
  <c r="A205" i="1" s="1"/>
  <c r="AA205" i="1" s="1"/>
  <c r="G206" i="1"/>
  <c r="A206" i="1" s="1"/>
  <c r="AA206" i="1" s="1"/>
  <c r="G207" i="1"/>
  <c r="A207" i="1" s="1"/>
  <c r="AA207" i="1" s="1"/>
  <c r="G208" i="1"/>
  <c r="A208" i="1" s="1"/>
  <c r="AA208" i="1" s="1"/>
  <c r="G209" i="1"/>
  <c r="A209" i="1" s="1"/>
  <c r="AA209" i="1" s="1"/>
  <c r="G210" i="1"/>
  <c r="A210" i="1" s="1"/>
  <c r="AA210" i="1" s="1"/>
  <c r="G211" i="1"/>
  <c r="A211" i="1" s="1"/>
  <c r="AA211" i="1" s="1"/>
  <c r="G212" i="1"/>
  <c r="A212" i="1" s="1"/>
  <c r="AA212" i="1" s="1"/>
  <c r="G213" i="1"/>
  <c r="A213" i="1" s="1"/>
  <c r="AA213" i="1" s="1"/>
  <c r="G214" i="1"/>
  <c r="A214" i="1" s="1"/>
  <c r="AA214" i="1" s="1"/>
  <c r="G111" i="1"/>
  <c r="A111" i="1" s="1"/>
  <c r="G113" i="1"/>
  <c r="A113" i="1" s="1"/>
  <c r="G115" i="1"/>
  <c r="A115" i="1" s="1"/>
  <c r="G117" i="1"/>
  <c r="A117" i="1" s="1"/>
  <c r="G119" i="1"/>
  <c r="A119" i="1" s="1"/>
  <c r="G123" i="1"/>
  <c r="A123" i="1" s="1"/>
  <c r="G148" i="1"/>
  <c r="A148" i="1" s="1"/>
  <c r="AA148" i="1" s="1"/>
  <c r="G156" i="1"/>
  <c r="A156" i="1" s="1"/>
  <c r="AA156" i="1" s="1"/>
  <c r="G164" i="1"/>
  <c r="A164" i="1" s="1"/>
  <c r="AA164" i="1" s="1"/>
  <c r="G172" i="1"/>
  <c r="A172" i="1" s="1"/>
  <c r="AA172" i="1" s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W120" i="1"/>
  <c r="W124" i="1"/>
  <c r="W126" i="1"/>
  <c r="W144" i="1"/>
  <c r="W146" i="1"/>
  <c r="W148" i="1"/>
  <c r="W150" i="1"/>
  <c r="W157" i="1"/>
  <c r="W168" i="1"/>
  <c r="W173" i="1"/>
  <c r="W179" i="1"/>
  <c r="W181" i="1"/>
  <c r="W192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108" i="1"/>
  <c r="W175" i="1"/>
  <c r="X108" i="1"/>
  <c r="X109" i="1"/>
  <c r="Y109" i="1" s="1"/>
  <c r="Z109" i="1" s="1"/>
  <c r="S109" i="1" s="1"/>
  <c r="X110" i="1"/>
  <c r="Y110" i="1" s="1"/>
  <c r="X111" i="1"/>
  <c r="Y111" i="1" s="1"/>
  <c r="Z111" i="1" s="1"/>
  <c r="S111" i="1" s="1"/>
  <c r="X112" i="1"/>
  <c r="Y112" i="1" s="1"/>
  <c r="X113" i="1"/>
  <c r="Y113" i="1" s="1"/>
  <c r="Z113" i="1" s="1"/>
  <c r="S113" i="1" s="1"/>
  <c r="X114" i="1"/>
  <c r="Y114" i="1" s="1"/>
  <c r="X115" i="1"/>
  <c r="Y115" i="1" s="1"/>
  <c r="Z115" i="1" s="1"/>
  <c r="S115" i="1" s="1"/>
  <c r="X116" i="1"/>
  <c r="Y116" i="1" s="1"/>
  <c r="X117" i="1"/>
  <c r="Y117" i="1" s="1"/>
  <c r="Z117" i="1" s="1"/>
  <c r="S117" i="1" s="1"/>
  <c r="X118" i="1"/>
  <c r="Y118" i="1" s="1"/>
  <c r="X119" i="1"/>
  <c r="Y119" i="1" s="1"/>
  <c r="Z119" i="1" s="1"/>
  <c r="S119" i="1" s="1"/>
  <c r="X120" i="1"/>
  <c r="X121" i="1"/>
  <c r="Y121" i="1" s="1"/>
  <c r="X122" i="1"/>
  <c r="Y122" i="1" s="1"/>
  <c r="Z122" i="1" s="1"/>
  <c r="S122" i="1" s="1"/>
  <c r="X123" i="1"/>
  <c r="Y123" i="1" s="1"/>
  <c r="X124" i="1"/>
  <c r="X125" i="1"/>
  <c r="Y125" i="1" s="1"/>
  <c r="X126" i="1"/>
  <c r="X127" i="1"/>
  <c r="Y127" i="1" s="1"/>
  <c r="X128" i="1"/>
  <c r="Y128" i="1" s="1"/>
  <c r="X129" i="1"/>
  <c r="Y129" i="1" s="1"/>
  <c r="X130" i="1"/>
  <c r="Y130" i="1" s="1"/>
  <c r="Z130" i="1" s="1"/>
  <c r="S130" i="1" s="1"/>
  <c r="X144" i="1"/>
  <c r="X145" i="1"/>
  <c r="Y145" i="1" s="1"/>
  <c r="Z145" i="1" s="1"/>
  <c r="S145" i="1" s="1"/>
  <c r="X146" i="1"/>
  <c r="X147" i="1"/>
  <c r="Y147" i="1" s="1"/>
  <c r="Z147" i="1" s="1"/>
  <c r="S147" i="1" s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Y161" i="1" s="1"/>
  <c r="Z161" i="1" s="1"/>
  <c r="S161" i="1" s="1"/>
  <c r="X162" i="1"/>
  <c r="Y162" i="1" s="1"/>
  <c r="Z162" i="1" s="1"/>
  <c r="S162" i="1" s="1"/>
  <c r="X163" i="1"/>
  <c r="Z163" i="1" s="1"/>
  <c r="S163" i="1" s="1"/>
  <c r="X164" i="1"/>
  <c r="X165" i="1"/>
  <c r="X166" i="1"/>
  <c r="X167" i="1"/>
  <c r="Z167" i="1" s="1"/>
  <c r="S167" i="1" s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Y108" i="1"/>
  <c r="Y120" i="1"/>
  <c r="Y124" i="1"/>
  <c r="Y126" i="1"/>
  <c r="Y144" i="1"/>
  <c r="Y146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Z159" i="1" s="1"/>
  <c r="S159" i="1" s="1"/>
  <c r="Y160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Z108" i="1"/>
  <c r="S108" i="1" s="1"/>
  <c r="Z120" i="1"/>
  <c r="S120" i="1" s="1"/>
  <c r="Z124" i="1"/>
  <c r="S124" i="1" s="1"/>
  <c r="Z126" i="1"/>
  <c r="S126" i="1" s="1"/>
  <c r="Z144" i="1"/>
  <c r="S144" i="1" s="1"/>
  <c r="Z146" i="1"/>
  <c r="S146" i="1" s="1"/>
  <c r="Z148" i="1"/>
  <c r="S148" i="1" s="1"/>
  <c r="Z149" i="1"/>
  <c r="S149" i="1" s="1"/>
  <c r="Z150" i="1"/>
  <c r="S150" i="1" s="1"/>
  <c r="Z151" i="1"/>
  <c r="S151" i="1" s="1"/>
  <c r="Z152" i="1"/>
  <c r="S152" i="1" s="1"/>
  <c r="Z153" i="1"/>
  <c r="S153" i="1" s="1"/>
  <c r="Z154" i="1"/>
  <c r="S154" i="1" s="1"/>
  <c r="Z155" i="1"/>
  <c r="S155" i="1" s="1"/>
  <c r="Z156" i="1"/>
  <c r="S156" i="1" s="1"/>
  <c r="Z157" i="1"/>
  <c r="S157" i="1" s="1"/>
  <c r="Z158" i="1"/>
  <c r="S158" i="1" s="1"/>
  <c r="Z160" i="1"/>
  <c r="S160" i="1" s="1"/>
  <c r="Z165" i="1"/>
  <c r="S165" i="1" s="1"/>
  <c r="Z168" i="1"/>
  <c r="S168" i="1" s="1"/>
  <c r="Z170" i="1"/>
  <c r="S170" i="1" s="1"/>
  <c r="Z172" i="1"/>
  <c r="S172" i="1" s="1"/>
  <c r="Z173" i="1"/>
  <c r="S173" i="1" s="1"/>
  <c r="Z175" i="1"/>
  <c r="S175" i="1" s="1"/>
  <c r="Z176" i="1"/>
  <c r="S176" i="1" s="1"/>
  <c r="Z177" i="1"/>
  <c r="S177" i="1" s="1"/>
  <c r="Z178" i="1"/>
  <c r="S178" i="1" s="1"/>
  <c r="Z179" i="1"/>
  <c r="S179" i="1" s="1"/>
  <c r="Z180" i="1"/>
  <c r="S180" i="1" s="1"/>
  <c r="Z181" i="1"/>
  <c r="S181" i="1" s="1"/>
  <c r="Z182" i="1"/>
  <c r="S182" i="1" s="1"/>
  <c r="Z183" i="1"/>
  <c r="S183" i="1" s="1"/>
  <c r="Z185" i="1"/>
  <c r="S185" i="1" s="1"/>
  <c r="Z186" i="1"/>
  <c r="S186" i="1" s="1"/>
  <c r="Z187" i="1"/>
  <c r="S187" i="1" s="1"/>
  <c r="Z188" i="1"/>
  <c r="S188" i="1" s="1"/>
  <c r="Z189" i="1"/>
  <c r="S189" i="1" s="1"/>
  <c r="Z190" i="1"/>
  <c r="S190" i="1" s="1"/>
  <c r="Z191" i="1"/>
  <c r="S191" i="1" s="1"/>
  <c r="Z192" i="1"/>
  <c r="S192" i="1" s="1"/>
  <c r="Z193" i="1"/>
  <c r="S193" i="1" s="1"/>
  <c r="Z194" i="1"/>
  <c r="S194" i="1" s="1"/>
  <c r="Z195" i="1"/>
  <c r="S195" i="1" s="1"/>
  <c r="Z196" i="1"/>
  <c r="S196" i="1" s="1"/>
  <c r="Z197" i="1"/>
  <c r="S197" i="1" s="1"/>
  <c r="Z198" i="1"/>
  <c r="S198" i="1" s="1"/>
  <c r="Z199" i="1"/>
  <c r="S199" i="1" s="1"/>
  <c r="Z200" i="1"/>
  <c r="S200" i="1" s="1"/>
  <c r="Z201" i="1"/>
  <c r="S201" i="1" s="1"/>
  <c r="Z202" i="1"/>
  <c r="S202" i="1" s="1"/>
  <c r="Z203" i="1"/>
  <c r="S203" i="1" s="1"/>
  <c r="Z204" i="1"/>
  <c r="S204" i="1" s="1"/>
  <c r="Z205" i="1"/>
  <c r="S205" i="1" s="1"/>
  <c r="Z206" i="1"/>
  <c r="S206" i="1" s="1"/>
  <c r="Z207" i="1"/>
  <c r="S207" i="1" s="1"/>
  <c r="Z208" i="1"/>
  <c r="S208" i="1" s="1"/>
  <c r="Z209" i="1"/>
  <c r="S209" i="1" s="1"/>
  <c r="Z210" i="1"/>
  <c r="S210" i="1" s="1"/>
  <c r="Z211" i="1"/>
  <c r="S211" i="1" s="1"/>
  <c r="Z212" i="1"/>
  <c r="S212" i="1" s="1"/>
  <c r="Z213" i="1"/>
  <c r="S213" i="1" s="1"/>
  <c r="Z214" i="1"/>
  <c r="S214" i="1" s="1"/>
  <c r="AA120" i="1"/>
  <c r="AA122" i="1"/>
  <c r="AA124" i="1"/>
  <c r="AA128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V190" i="1"/>
  <c r="V191" i="1" s="1"/>
  <c r="Z171" i="1" l="1"/>
  <c r="S171" i="1" s="1"/>
  <c r="AA183" i="1"/>
  <c r="AA177" i="1"/>
  <c r="AA171" i="1"/>
  <c r="AA161" i="1"/>
  <c r="AA159" i="1"/>
  <c r="Z169" i="1"/>
  <c r="S169" i="1" s="1"/>
  <c r="Z166" i="1"/>
  <c r="S166" i="1" s="1"/>
  <c r="Z164" i="1"/>
  <c r="S164" i="1" s="1"/>
  <c r="AA178" i="1"/>
  <c r="AA170" i="1"/>
  <c r="AA160" i="1"/>
  <c r="AA154" i="1"/>
  <c r="AA152" i="1"/>
  <c r="Z174" i="1"/>
  <c r="S174" i="1" s="1"/>
  <c r="AA123" i="1"/>
  <c r="AA117" i="1"/>
  <c r="AA113" i="1"/>
  <c r="AA129" i="1"/>
  <c r="AA110" i="1"/>
  <c r="AA119" i="1"/>
  <c r="AA115" i="1"/>
  <c r="AA111" i="1"/>
  <c r="Z128" i="1"/>
  <c r="S128" i="1" s="1"/>
  <c r="Z129" i="1"/>
  <c r="S129" i="1" s="1"/>
  <c r="Z127" i="1"/>
  <c r="S127" i="1" s="1"/>
  <c r="Z123" i="1"/>
  <c r="S123" i="1" s="1"/>
  <c r="Z121" i="1"/>
  <c r="S121" i="1" s="1"/>
  <c r="Z125" i="1"/>
  <c r="S125" i="1" s="1"/>
  <c r="Z118" i="1"/>
  <c r="S118" i="1" s="1"/>
  <c r="Z116" i="1"/>
  <c r="S116" i="1" s="1"/>
  <c r="Z114" i="1"/>
  <c r="S114" i="1" s="1"/>
  <c r="Z112" i="1"/>
  <c r="S112" i="1" s="1"/>
  <c r="Z110" i="1"/>
  <c r="S110" i="1" s="1"/>
  <c r="G6" i="1" l="1"/>
  <c r="A6" i="1" s="1"/>
  <c r="AA6" i="1" s="1"/>
  <c r="H6" i="1"/>
  <c r="I6" i="1"/>
  <c r="X6" i="1"/>
  <c r="Y6" i="1" s="1"/>
  <c r="Z6" i="1" s="1"/>
  <c r="S6" i="1" s="1"/>
  <c r="AC6" i="1"/>
  <c r="G5" i="1" l="1"/>
  <c r="A5" i="1" s="1"/>
  <c r="G8" i="1"/>
  <c r="A8" i="1" s="1"/>
  <c r="G9" i="1"/>
  <c r="A9" i="1" s="1"/>
  <c r="G11" i="1"/>
  <c r="A11" i="1" s="1"/>
  <c r="G12" i="1"/>
  <c r="A12" i="1" s="1"/>
  <c r="AA12" i="1" s="1"/>
  <c r="G13" i="1"/>
  <c r="A13" i="1" s="1"/>
  <c r="G14" i="1"/>
  <c r="A14" i="1" s="1"/>
  <c r="G15" i="1"/>
  <c r="A15" i="1" s="1"/>
  <c r="AA15" i="1" s="1"/>
  <c r="G17" i="1"/>
  <c r="A17" i="1" s="1"/>
  <c r="G18" i="1"/>
  <c r="A18" i="1" s="1"/>
  <c r="AA18" i="1" s="1"/>
  <c r="G19" i="1"/>
  <c r="A19" i="1" s="1"/>
  <c r="G20" i="1"/>
  <c r="A20" i="1" s="1"/>
  <c r="G21" i="1"/>
  <c r="A21" i="1" s="1"/>
  <c r="G22" i="1"/>
  <c r="A22" i="1" s="1"/>
  <c r="G23" i="1"/>
  <c r="A23" i="1" s="1"/>
  <c r="AA23" i="1" s="1"/>
  <c r="G25" i="1"/>
  <c r="A25" i="1" s="1"/>
  <c r="G26" i="1"/>
  <c r="A26" i="1" s="1"/>
  <c r="AA26" i="1" s="1"/>
  <c r="G28" i="1"/>
  <c r="A28" i="1" s="1"/>
  <c r="G29" i="1"/>
  <c r="A29" i="1" s="1"/>
  <c r="G30" i="1"/>
  <c r="A30" i="1" s="1"/>
  <c r="AA30" i="1" s="1"/>
  <c r="G31" i="1"/>
  <c r="A31" i="1" s="1"/>
  <c r="G32" i="1"/>
  <c r="A32" i="1" s="1"/>
  <c r="AA32" i="1" s="1"/>
  <c r="G34" i="1"/>
  <c r="A34" i="1" s="1"/>
  <c r="G35" i="1"/>
  <c r="A35" i="1" s="1"/>
  <c r="G37" i="1"/>
  <c r="A37" i="1" s="1"/>
  <c r="G38" i="1"/>
  <c r="A38" i="1" s="1"/>
  <c r="AA38" i="1" s="1"/>
  <c r="G39" i="1"/>
  <c r="A39" i="1" s="1"/>
  <c r="G40" i="1"/>
  <c r="A40" i="1" s="1"/>
  <c r="AA40" i="1" s="1"/>
  <c r="G41" i="1"/>
  <c r="A41" i="1" s="1"/>
  <c r="AA41" i="1" s="1"/>
  <c r="G43" i="1"/>
  <c r="A43" i="1" s="1"/>
  <c r="G44" i="1"/>
  <c r="A44" i="1" s="1"/>
  <c r="AA44" i="1" s="1"/>
  <c r="G45" i="1"/>
  <c r="A45" i="1" s="1"/>
  <c r="G46" i="1"/>
  <c r="A46" i="1" s="1"/>
  <c r="AA46" i="1" s="1"/>
  <c r="G47" i="1"/>
  <c r="A47" i="1" s="1"/>
  <c r="G48" i="1"/>
  <c r="A48" i="1" s="1"/>
  <c r="AA48" i="1" s="1"/>
  <c r="G50" i="1"/>
  <c r="A50" i="1" s="1"/>
  <c r="AA50" i="1" s="1"/>
  <c r="G52" i="1"/>
  <c r="A52" i="1" s="1"/>
  <c r="AA52" i="1" s="1"/>
  <c r="G54" i="1"/>
  <c r="A54" i="1" s="1"/>
  <c r="AA54" i="1" s="1"/>
  <c r="G56" i="1"/>
  <c r="A56" i="1" s="1"/>
  <c r="AA56" i="1" s="1"/>
  <c r="G58" i="1"/>
  <c r="A58" i="1" s="1"/>
  <c r="AA58" i="1" s="1"/>
  <c r="G60" i="1"/>
  <c r="A60" i="1" s="1"/>
  <c r="AA60" i="1" s="1"/>
  <c r="G62" i="1"/>
  <c r="A62" i="1" s="1"/>
  <c r="G63" i="1"/>
  <c r="A63" i="1" s="1"/>
  <c r="G64" i="1"/>
  <c r="A64" i="1" s="1"/>
  <c r="AA64" i="1" s="1"/>
  <c r="G65" i="1"/>
  <c r="A65" i="1" s="1"/>
  <c r="G66" i="1"/>
  <c r="A66" i="1" s="1"/>
  <c r="AA66" i="1" s="1"/>
  <c r="G67" i="1"/>
  <c r="A67" i="1" s="1"/>
  <c r="G69" i="1"/>
  <c r="A69" i="1" s="1"/>
  <c r="G70" i="1"/>
  <c r="A70" i="1" s="1"/>
  <c r="AA70" i="1" s="1"/>
  <c r="G71" i="1"/>
  <c r="A71" i="1" s="1"/>
  <c r="AA71" i="1" s="1"/>
  <c r="G73" i="1"/>
  <c r="A73" i="1" s="1"/>
  <c r="G74" i="1"/>
  <c r="A74" i="1" s="1"/>
  <c r="AA74" i="1" s="1"/>
  <c r="G75" i="1"/>
  <c r="A75" i="1" s="1"/>
  <c r="G76" i="1"/>
  <c r="A76" i="1" s="1"/>
  <c r="AA76" i="1" s="1"/>
  <c r="G77" i="1"/>
  <c r="A77" i="1" s="1"/>
  <c r="G78" i="1"/>
  <c r="A78" i="1" s="1"/>
  <c r="AA78" i="1" s="1"/>
  <c r="G79" i="1"/>
  <c r="A79" i="1" s="1"/>
  <c r="G80" i="1"/>
  <c r="A80" i="1" s="1"/>
  <c r="AA80" i="1" s="1"/>
  <c r="G81" i="1"/>
  <c r="A81" i="1" s="1"/>
  <c r="AA81" i="1" s="1"/>
  <c r="G83" i="1"/>
  <c r="A83" i="1" s="1"/>
  <c r="AA83" i="1" s="1"/>
  <c r="G84" i="1"/>
  <c r="A84" i="1" s="1"/>
  <c r="AA84" i="1" s="1"/>
  <c r="G86" i="1"/>
  <c r="A86" i="1" s="1"/>
  <c r="G87" i="1"/>
  <c r="A87" i="1" s="1"/>
  <c r="AA87" i="1" s="1"/>
  <c r="G89" i="1"/>
  <c r="A89" i="1" s="1"/>
  <c r="AA89" i="1" s="1"/>
  <c r="G91" i="1"/>
  <c r="A91" i="1" s="1"/>
  <c r="G92" i="1"/>
  <c r="A92" i="1" s="1"/>
  <c r="AA92" i="1" s="1"/>
  <c r="G93" i="1"/>
  <c r="A93" i="1" s="1"/>
  <c r="AA93" i="1" s="1"/>
  <c r="G95" i="1"/>
  <c r="A95" i="1" s="1"/>
  <c r="G96" i="1"/>
  <c r="A96" i="1" s="1"/>
  <c r="AA96" i="1" s="1"/>
  <c r="G97" i="1"/>
  <c r="A97" i="1" s="1"/>
  <c r="G98" i="1"/>
  <c r="A98" i="1" s="1"/>
  <c r="AA98" i="1" s="1"/>
  <c r="G99" i="1"/>
  <c r="A99" i="1" s="1"/>
  <c r="G101" i="1"/>
  <c r="A101" i="1" s="1"/>
  <c r="G102" i="1"/>
  <c r="A102" i="1" s="1"/>
  <c r="AA102" i="1" s="1"/>
  <c r="G103" i="1"/>
  <c r="A103" i="1" s="1"/>
  <c r="G104" i="1"/>
  <c r="A104" i="1" s="1"/>
  <c r="AA104" i="1" s="1"/>
  <c r="G105" i="1"/>
  <c r="A105" i="1" s="1"/>
  <c r="G106" i="1"/>
  <c r="A106" i="1" s="1"/>
  <c r="AA106" i="1" s="1"/>
  <c r="G107" i="1"/>
  <c r="A107" i="1" s="1"/>
  <c r="G36" i="1"/>
  <c r="A36" i="1" s="1"/>
  <c r="AA36" i="1" s="1"/>
  <c r="G68" i="1"/>
  <c r="A68" i="1" s="1"/>
  <c r="AA68" i="1" s="1"/>
  <c r="G100" i="1"/>
  <c r="A100" i="1" s="1"/>
  <c r="AA100" i="1" s="1"/>
  <c r="H3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H40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W23" i="1"/>
  <c r="W26" i="1"/>
  <c r="W32" i="1"/>
  <c r="W41" i="1"/>
  <c r="W48" i="1"/>
  <c r="W50" i="1"/>
  <c r="W52" i="1"/>
  <c r="W54" i="1"/>
  <c r="W56" i="1"/>
  <c r="W58" i="1"/>
  <c r="W60" i="1"/>
  <c r="W71" i="1"/>
  <c r="W81" i="1"/>
  <c r="W83" i="1"/>
  <c r="W84" i="1"/>
  <c r="W87" i="1"/>
  <c r="W89" i="1"/>
  <c r="W93" i="1"/>
  <c r="X3" i="1"/>
  <c r="Y3" i="1" s="1"/>
  <c r="Z3" i="1" s="1"/>
  <c r="S3" i="1" s="1"/>
  <c r="X5" i="1"/>
  <c r="Y5" i="1" s="1"/>
  <c r="Z5" i="1" s="1"/>
  <c r="S5" i="1" s="1"/>
  <c r="X7" i="1"/>
  <c r="Y7" i="1" s="1"/>
  <c r="X8" i="1"/>
  <c r="Y8" i="1" s="1"/>
  <c r="X9" i="1"/>
  <c r="Y9" i="1" s="1"/>
  <c r="X10" i="1"/>
  <c r="X11" i="1"/>
  <c r="Y11" i="1" s="1"/>
  <c r="Z11" i="1" s="1"/>
  <c r="S11" i="1" s="1"/>
  <c r="X12" i="1"/>
  <c r="Y12" i="1" s="1"/>
  <c r="X13" i="1"/>
  <c r="X14" i="1"/>
  <c r="Y14" i="1" s="1"/>
  <c r="X15" i="1"/>
  <c r="X16" i="1"/>
  <c r="X17" i="1"/>
  <c r="Y17" i="1" s="1"/>
  <c r="Z17" i="1" s="1"/>
  <c r="S17" i="1" s="1"/>
  <c r="X18" i="1"/>
  <c r="X19" i="1"/>
  <c r="Y19" i="1" s="1"/>
  <c r="Z19" i="1" s="1"/>
  <c r="S19" i="1" s="1"/>
  <c r="X20" i="1"/>
  <c r="X21" i="1"/>
  <c r="Y21" i="1" s="1"/>
  <c r="Z21" i="1" s="1"/>
  <c r="S21" i="1" s="1"/>
  <c r="X22" i="1"/>
  <c r="X23" i="1"/>
  <c r="X24" i="1"/>
  <c r="X25" i="1"/>
  <c r="Y25" i="1" s="1"/>
  <c r="Z25" i="1" s="1"/>
  <c r="S25" i="1" s="1"/>
  <c r="X26" i="1"/>
  <c r="X27" i="1"/>
  <c r="Y27" i="1" s="1"/>
  <c r="Z27" i="1" s="1"/>
  <c r="S27" i="1" s="1"/>
  <c r="X28" i="1"/>
  <c r="X29" i="1"/>
  <c r="Y29" i="1" s="1"/>
  <c r="Z29" i="1" s="1"/>
  <c r="S29" i="1" s="1"/>
  <c r="X30" i="1"/>
  <c r="X31" i="1"/>
  <c r="Y31" i="1" s="1"/>
  <c r="Z31" i="1" s="1"/>
  <c r="S31" i="1" s="1"/>
  <c r="X32" i="1"/>
  <c r="X33" i="1"/>
  <c r="Y33" i="1" s="1"/>
  <c r="Z33" i="1" s="1"/>
  <c r="S33" i="1" s="1"/>
  <c r="X34" i="1"/>
  <c r="X35" i="1"/>
  <c r="Y35" i="1" s="1"/>
  <c r="Z35" i="1" s="1"/>
  <c r="S35" i="1" s="1"/>
  <c r="X36" i="1"/>
  <c r="X37" i="1"/>
  <c r="Y37" i="1" s="1"/>
  <c r="Z37" i="1" s="1"/>
  <c r="S37" i="1" s="1"/>
  <c r="X38" i="1"/>
  <c r="X39" i="1"/>
  <c r="Y39" i="1" s="1"/>
  <c r="Z39" i="1" s="1"/>
  <c r="S39" i="1" s="1"/>
  <c r="X40" i="1"/>
  <c r="X41" i="1"/>
  <c r="X42" i="1"/>
  <c r="X43" i="1"/>
  <c r="Y43" i="1" s="1"/>
  <c r="X44" i="1"/>
  <c r="Y44" i="1" s="1"/>
  <c r="Z44" i="1" s="1"/>
  <c r="S44" i="1" s="1"/>
  <c r="X45" i="1"/>
  <c r="Y45" i="1" s="1"/>
  <c r="Z45" i="1" s="1"/>
  <c r="S45" i="1" s="1"/>
  <c r="X46" i="1"/>
  <c r="X47" i="1"/>
  <c r="Y47" i="1" s="1"/>
  <c r="Z47" i="1" s="1"/>
  <c r="S47" i="1" s="1"/>
  <c r="X48" i="1"/>
  <c r="X49" i="1"/>
  <c r="Y49" i="1" s="1"/>
  <c r="X50" i="1"/>
  <c r="X51" i="1"/>
  <c r="Y51" i="1" s="1"/>
  <c r="X52" i="1"/>
  <c r="X53" i="1"/>
  <c r="Y53" i="1" s="1"/>
  <c r="Z53" i="1" s="1"/>
  <c r="S53" i="1" s="1"/>
  <c r="X54" i="1"/>
  <c r="X55" i="1"/>
  <c r="Y55" i="1" s="1"/>
  <c r="Z55" i="1" s="1"/>
  <c r="S55" i="1" s="1"/>
  <c r="X56" i="1"/>
  <c r="X57" i="1"/>
  <c r="Y57" i="1" s="1"/>
  <c r="Z57" i="1" s="1"/>
  <c r="S57" i="1" s="1"/>
  <c r="X58" i="1"/>
  <c r="X59" i="1"/>
  <c r="Y59" i="1" s="1"/>
  <c r="Z59" i="1" s="1"/>
  <c r="S59" i="1" s="1"/>
  <c r="X60" i="1"/>
  <c r="X61" i="1"/>
  <c r="Y61" i="1" s="1"/>
  <c r="Z61" i="1" s="1"/>
  <c r="S61" i="1" s="1"/>
  <c r="X62" i="1"/>
  <c r="X63" i="1"/>
  <c r="Y63" i="1" s="1"/>
  <c r="Z63" i="1" s="1"/>
  <c r="S63" i="1" s="1"/>
  <c r="X64" i="1"/>
  <c r="X65" i="1"/>
  <c r="Y65" i="1" s="1"/>
  <c r="Z65" i="1" s="1"/>
  <c r="S65" i="1" s="1"/>
  <c r="X66" i="1"/>
  <c r="X67" i="1"/>
  <c r="Y67" i="1" s="1"/>
  <c r="Z67" i="1" s="1"/>
  <c r="S67" i="1" s="1"/>
  <c r="X68" i="1"/>
  <c r="X69" i="1"/>
  <c r="Y69" i="1" s="1"/>
  <c r="Z69" i="1" s="1"/>
  <c r="S69" i="1" s="1"/>
  <c r="X70" i="1"/>
  <c r="X71" i="1"/>
  <c r="X72" i="1"/>
  <c r="X73" i="1"/>
  <c r="Y73" i="1" s="1"/>
  <c r="Z73" i="1" s="1"/>
  <c r="S73" i="1" s="1"/>
  <c r="X74" i="1"/>
  <c r="X75" i="1"/>
  <c r="Y75" i="1" s="1"/>
  <c r="Z75" i="1" s="1"/>
  <c r="S75" i="1" s="1"/>
  <c r="X76" i="1"/>
  <c r="X77" i="1"/>
  <c r="Y77" i="1" s="1"/>
  <c r="Z77" i="1" s="1"/>
  <c r="S77" i="1" s="1"/>
  <c r="X78" i="1"/>
  <c r="X79" i="1"/>
  <c r="Y79" i="1" s="1"/>
  <c r="Z79" i="1" s="1"/>
  <c r="S79" i="1" s="1"/>
  <c r="X80" i="1"/>
  <c r="X81" i="1"/>
  <c r="X82" i="1"/>
  <c r="X83" i="1"/>
  <c r="X84" i="1"/>
  <c r="X85" i="1"/>
  <c r="Y85" i="1" s="1"/>
  <c r="Z85" i="1" s="1"/>
  <c r="S85" i="1" s="1"/>
  <c r="X86" i="1"/>
  <c r="X87" i="1"/>
  <c r="X88" i="1"/>
  <c r="X89" i="1"/>
  <c r="X90" i="1"/>
  <c r="X91" i="1"/>
  <c r="Y91" i="1" s="1"/>
  <c r="Z91" i="1" s="1"/>
  <c r="S91" i="1" s="1"/>
  <c r="X92" i="1"/>
  <c r="X93" i="1"/>
  <c r="X94" i="1"/>
  <c r="X95" i="1"/>
  <c r="Y95" i="1" s="1"/>
  <c r="Z95" i="1" s="1"/>
  <c r="S95" i="1" s="1"/>
  <c r="X96" i="1"/>
  <c r="X97" i="1"/>
  <c r="Y97" i="1" s="1"/>
  <c r="Z97" i="1" s="1"/>
  <c r="S97" i="1" s="1"/>
  <c r="X98" i="1"/>
  <c r="X99" i="1"/>
  <c r="Y99" i="1" s="1"/>
  <c r="Z99" i="1" s="1"/>
  <c r="S99" i="1" s="1"/>
  <c r="X100" i="1"/>
  <c r="X101" i="1"/>
  <c r="Y101" i="1" s="1"/>
  <c r="Z101" i="1" s="1"/>
  <c r="S101" i="1" s="1"/>
  <c r="X102" i="1"/>
  <c r="X103" i="1"/>
  <c r="Y103" i="1" s="1"/>
  <c r="Z103" i="1" s="1"/>
  <c r="S103" i="1" s="1"/>
  <c r="X104" i="1"/>
  <c r="X105" i="1"/>
  <c r="Y105" i="1" s="1"/>
  <c r="Z105" i="1" s="1"/>
  <c r="S105" i="1" s="1"/>
  <c r="X106" i="1"/>
  <c r="X107" i="1"/>
  <c r="Y107" i="1" s="1"/>
  <c r="Z107" i="1" s="1"/>
  <c r="S107" i="1" s="1"/>
  <c r="Y10" i="1"/>
  <c r="Y15" i="1"/>
  <c r="Y16" i="1"/>
  <c r="Z16" i="1" s="1"/>
  <c r="S16" i="1" s="1"/>
  <c r="Y18" i="1"/>
  <c r="Z18" i="1" s="1"/>
  <c r="S18" i="1" s="1"/>
  <c r="Y20" i="1"/>
  <c r="Z20" i="1" s="1"/>
  <c r="S20" i="1" s="1"/>
  <c r="Y22" i="1"/>
  <c r="Z22" i="1" s="1"/>
  <c r="S22" i="1" s="1"/>
  <c r="Y23" i="1"/>
  <c r="Y24" i="1"/>
  <c r="Z24" i="1" s="1"/>
  <c r="S24" i="1" s="1"/>
  <c r="Y26" i="1"/>
  <c r="Y28" i="1"/>
  <c r="Z28" i="1" s="1"/>
  <c r="S28" i="1" s="1"/>
  <c r="Y30" i="1"/>
  <c r="Z30" i="1" s="1"/>
  <c r="S30" i="1" s="1"/>
  <c r="Y32" i="1"/>
  <c r="Y34" i="1"/>
  <c r="Z34" i="1" s="1"/>
  <c r="S34" i="1" s="1"/>
  <c r="Y36" i="1"/>
  <c r="Z36" i="1" s="1"/>
  <c r="S36" i="1" s="1"/>
  <c r="Y38" i="1"/>
  <c r="Z38" i="1" s="1"/>
  <c r="S38" i="1" s="1"/>
  <c r="Y40" i="1"/>
  <c r="Z40" i="1" s="1"/>
  <c r="S40" i="1" s="1"/>
  <c r="Y41" i="1"/>
  <c r="Y42" i="1"/>
  <c r="Z42" i="1" s="1"/>
  <c r="S42" i="1" s="1"/>
  <c r="Y46" i="1"/>
  <c r="Z46" i="1" s="1"/>
  <c r="S46" i="1" s="1"/>
  <c r="Y48" i="1"/>
  <c r="Y50" i="1"/>
  <c r="Y52" i="1"/>
  <c r="Y54" i="1"/>
  <c r="Y56" i="1"/>
  <c r="Y58" i="1"/>
  <c r="Y60" i="1"/>
  <c r="Y62" i="1"/>
  <c r="Y64" i="1"/>
  <c r="Y66" i="1"/>
  <c r="Y68" i="1"/>
  <c r="Y70" i="1"/>
  <c r="Y71" i="1"/>
  <c r="Y72" i="1"/>
  <c r="Y74" i="1"/>
  <c r="Y76" i="1"/>
  <c r="Y78" i="1"/>
  <c r="Y80" i="1"/>
  <c r="Y81" i="1"/>
  <c r="Y82" i="1"/>
  <c r="Y83" i="1"/>
  <c r="Y84" i="1"/>
  <c r="Y86" i="1"/>
  <c r="Y87" i="1"/>
  <c r="Y88" i="1"/>
  <c r="Y89" i="1"/>
  <c r="Y90" i="1"/>
  <c r="Y92" i="1"/>
  <c r="Y93" i="1"/>
  <c r="Y94" i="1"/>
  <c r="Y96" i="1"/>
  <c r="Y98" i="1"/>
  <c r="Y100" i="1"/>
  <c r="Y102" i="1"/>
  <c r="Y104" i="1"/>
  <c r="Y106" i="1"/>
  <c r="Z15" i="1"/>
  <c r="S15" i="1" s="1"/>
  <c r="Z23" i="1"/>
  <c r="S23" i="1" s="1"/>
  <c r="Z26" i="1"/>
  <c r="S26" i="1" s="1"/>
  <c r="Z32" i="1"/>
  <c r="S32" i="1" s="1"/>
  <c r="Z41" i="1"/>
  <c r="S41" i="1" s="1"/>
  <c r="Z48" i="1"/>
  <c r="S48" i="1" s="1"/>
  <c r="Z50" i="1"/>
  <c r="S50" i="1" s="1"/>
  <c r="Z52" i="1"/>
  <c r="S52" i="1" s="1"/>
  <c r="Z54" i="1"/>
  <c r="S54" i="1" s="1"/>
  <c r="Z56" i="1"/>
  <c r="S56" i="1" s="1"/>
  <c r="Z58" i="1"/>
  <c r="S58" i="1" s="1"/>
  <c r="Z60" i="1"/>
  <c r="S60" i="1" s="1"/>
  <c r="Z62" i="1"/>
  <c r="S62" i="1" s="1"/>
  <c r="Z64" i="1"/>
  <c r="S64" i="1" s="1"/>
  <c r="Z66" i="1"/>
  <c r="S66" i="1" s="1"/>
  <c r="Z68" i="1"/>
  <c r="S68" i="1" s="1"/>
  <c r="Z70" i="1"/>
  <c r="S70" i="1" s="1"/>
  <c r="Z71" i="1"/>
  <c r="S71" i="1" s="1"/>
  <c r="Z72" i="1"/>
  <c r="S72" i="1" s="1"/>
  <c r="Z74" i="1"/>
  <c r="S74" i="1" s="1"/>
  <c r="Z76" i="1"/>
  <c r="S76" i="1" s="1"/>
  <c r="Z78" i="1"/>
  <c r="S78" i="1" s="1"/>
  <c r="Z80" i="1"/>
  <c r="S80" i="1" s="1"/>
  <c r="Z81" i="1"/>
  <c r="S81" i="1" s="1"/>
  <c r="Z82" i="1"/>
  <c r="S82" i="1" s="1"/>
  <c r="Z83" i="1"/>
  <c r="S83" i="1" s="1"/>
  <c r="Z84" i="1"/>
  <c r="S84" i="1" s="1"/>
  <c r="Z86" i="1"/>
  <c r="S86" i="1" s="1"/>
  <c r="Z87" i="1"/>
  <c r="S87" i="1" s="1"/>
  <c r="Z88" i="1"/>
  <c r="S88" i="1" s="1"/>
  <c r="Z89" i="1"/>
  <c r="S89" i="1" s="1"/>
  <c r="Z90" i="1"/>
  <c r="S90" i="1" s="1"/>
  <c r="Z92" i="1"/>
  <c r="S92" i="1" s="1"/>
  <c r="Z93" i="1"/>
  <c r="S93" i="1" s="1"/>
  <c r="Z94" i="1"/>
  <c r="S94" i="1" s="1"/>
  <c r="Z96" i="1"/>
  <c r="S96" i="1" s="1"/>
  <c r="Z98" i="1"/>
  <c r="S98" i="1" s="1"/>
  <c r="Z100" i="1"/>
  <c r="S100" i="1" s="1"/>
  <c r="Z102" i="1"/>
  <c r="S102" i="1" s="1"/>
  <c r="Z104" i="1"/>
  <c r="S104" i="1" s="1"/>
  <c r="Z106" i="1"/>
  <c r="S106" i="1" s="1"/>
  <c r="AC3" i="1"/>
  <c r="AC5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Z9" i="1" l="1"/>
  <c r="S9" i="1" s="1"/>
  <c r="AA99" i="1"/>
  <c r="AA97" i="1"/>
  <c r="AA86" i="1"/>
  <c r="AA69" i="1"/>
  <c r="AA62" i="1"/>
  <c r="AA47" i="1"/>
  <c r="AA45" i="1"/>
  <c r="AA35" i="1"/>
  <c r="AA28" i="1"/>
  <c r="AA13" i="1"/>
  <c r="AA8" i="1"/>
  <c r="AA107" i="1"/>
  <c r="AA105" i="1"/>
  <c r="AA103" i="1"/>
  <c r="AA101" i="1"/>
  <c r="AA79" i="1"/>
  <c r="AA77" i="1"/>
  <c r="AA75" i="1"/>
  <c r="AA67" i="1"/>
  <c r="AA65" i="1"/>
  <c r="AA63" i="1"/>
  <c r="AA39" i="1"/>
  <c r="AA37" i="1"/>
  <c r="AA34" i="1"/>
  <c r="AA31" i="1"/>
  <c r="AA21" i="1"/>
  <c r="AA19" i="1"/>
  <c r="AA95" i="1"/>
  <c r="AA43" i="1"/>
  <c r="AA25" i="1"/>
  <c r="AA91" i="1"/>
  <c r="AA73" i="1"/>
  <c r="Y13" i="1"/>
  <c r="Z13" i="1" s="1"/>
  <c r="S13" i="1" s="1"/>
  <c r="Z43" i="1"/>
  <c r="S43" i="1" s="1"/>
  <c r="Z51" i="1"/>
  <c r="S51" i="1" s="1"/>
  <c r="Z49" i="1"/>
  <c r="S49" i="1" s="1"/>
  <c r="Z14" i="1"/>
  <c r="S14" i="1" s="1"/>
  <c r="Z12" i="1"/>
  <c r="S12" i="1" s="1"/>
  <c r="Z10" i="1"/>
  <c r="S10" i="1" s="1"/>
  <c r="Z7" i="1"/>
  <c r="S7" i="1" s="1"/>
  <c r="Z8" i="1"/>
  <c r="S8" i="1" s="1"/>
  <c r="E138" i="5"/>
  <c r="E139" i="5"/>
  <c r="E137" i="5"/>
  <c r="E136" i="5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G3" i="1" l="1"/>
  <c r="A3" i="1" s="1"/>
  <c r="V3" i="1" s="1"/>
  <c r="G7" i="1"/>
  <c r="A7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5" i="1"/>
  <c r="V8" i="1"/>
  <c r="V6" i="1"/>
  <c r="H138" i="5" l="1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L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V7" i="1"/>
  <c r="L51" i="5" l="1"/>
  <c r="G10" i="1"/>
  <c r="A10" i="1" s="1"/>
  <c r="V10" i="1" s="1"/>
  <c r="G24" i="1"/>
  <c r="A24" i="1" s="1"/>
  <c r="V24" i="1" s="1"/>
  <c r="I55" i="1"/>
  <c r="I85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N84" i="5" s="1"/>
  <c r="O84" i="5" s="1"/>
  <c r="L101" i="5"/>
  <c r="N101" i="5"/>
  <c r="O101" i="5" s="1"/>
  <c r="L75" i="5"/>
  <c r="N75" i="5" s="1"/>
  <c r="O75" i="5" s="1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L56" i="5"/>
  <c r="N56" i="5" s="1"/>
  <c r="O56" i="5" s="1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 s="1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 s="1"/>
  <c r="O79" i="5" s="1"/>
  <c r="L29" i="5"/>
  <c r="N29" i="5"/>
  <c r="O29" i="5" s="1"/>
  <c r="L37" i="5"/>
  <c r="N37" i="5" s="1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 s="1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 s="1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V11" i="1"/>
  <c r="V25" i="1"/>
  <c r="G16" i="1" l="1"/>
  <c r="A16" i="1" s="1"/>
  <c r="V16" i="1" s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17" i="1"/>
  <c r="V12" i="1"/>
  <c r="G33" i="1" l="1"/>
  <c r="A33" i="1" s="1"/>
  <c r="V33" i="1" s="1"/>
  <c r="G27" i="1"/>
  <c r="A27" i="1" s="1"/>
  <c r="V27" i="1" s="1"/>
  <c r="G42" i="1"/>
  <c r="A42" i="1" s="1"/>
  <c r="V42" i="1" s="1"/>
  <c r="V28" i="1"/>
  <c r="V43" i="1"/>
  <c r="V13" i="1"/>
  <c r="V34" i="1"/>
  <c r="V18" i="1"/>
  <c r="G49" i="1" l="1"/>
  <c r="A49" i="1" s="1"/>
  <c r="V49" i="1" s="1"/>
  <c r="V14" i="1"/>
  <c r="V19" i="1"/>
  <c r="V44" i="1"/>
  <c r="V29" i="1"/>
  <c r="V35" i="1"/>
  <c r="V15" i="1"/>
  <c r="G51" i="1" l="1"/>
  <c r="A51" i="1" s="1"/>
  <c r="V51" i="1" s="1"/>
  <c r="V45" i="1"/>
  <c r="V36" i="1"/>
  <c r="V30" i="1"/>
  <c r="V20" i="1"/>
  <c r="G53" i="1" l="1"/>
  <c r="A53" i="1" s="1"/>
  <c r="V53" i="1" s="1"/>
  <c r="V37" i="1"/>
  <c r="V31" i="1"/>
  <c r="V21" i="1"/>
  <c r="V46" i="1"/>
  <c r="G55" i="1" l="1"/>
  <c r="A55" i="1" s="1"/>
  <c r="V55" i="1" s="1"/>
  <c r="V22" i="1"/>
  <c r="V47" i="1"/>
  <c r="V38" i="1"/>
  <c r="G57" i="1" l="1"/>
  <c r="A57" i="1" s="1"/>
  <c r="V57" i="1" s="1"/>
  <c r="V39" i="1"/>
  <c r="G59" i="1" l="1"/>
  <c r="A59" i="1" s="1"/>
  <c r="V59" i="1" s="1"/>
  <c r="V40" i="1"/>
  <c r="G61" i="1" l="1"/>
  <c r="A61" i="1" s="1"/>
  <c r="V61" i="1" s="1"/>
  <c r="V62" i="1"/>
  <c r="G72" i="1" l="1"/>
  <c r="A72" i="1" s="1"/>
  <c r="V72" i="1" s="1"/>
  <c r="V63" i="1"/>
  <c r="V73" i="1"/>
  <c r="G82" i="1" l="1"/>
  <c r="A82" i="1" s="1"/>
  <c r="V82" i="1" s="1"/>
  <c r="V74" i="1"/>
  <c r="V64" i="1"/>
  <c r="G85" i="1" l="1"/>
  <c r="A85" i="1" s="1"/>
  <c r="V85" i="1" s="1"/>
  <c r="V65" i="1"/>
  <c r="V75" i="1"/>
  <c r="V86" i="1"/>
  <c r="G88" i="1" l="1"/>
  <c r="A88" i="1" s="1"/>
  <c r="V88" i="1" s="1"/>
  <c r="V76" i="1"/>
  <c r="V66" i="1"/>
  <c r="G90" i="1" l="1"/>
  <c r="A90" i="1" s="1"/>
  <c r="V90" i="1" s="1"/>
  <c r="V67" i="1"/>
  <c r="V77" i="1"/>
  <c r="V91" i="1"/>
  <c r="G94" i="1" l="1"/>
  <c r="A94" i="1" s="1"/>
  <c r="V94" i="1" s="1"/>
  <c r="V78" i="1"/>
  <c r="V92" i="1"/>
  <c r="V95" i="1"/>
  <c r="V68" i="1"/>
  <c r="G109" i="1" l="1"/>
  <c r="A109" i="1" s="1"/>
  <c r="V109" i="1" s="1"/>
  <c r="V96" i="1"/>
  <c r="V69" i="1"/>
  <c r="V110" i="1"/>
  <c r="V79" i="1"/>
  <c r="G121" i="1" l="1"/>
  <c r="A121" i="1" s="1"/>
  <c r="V121" i="1" s="1"/>
  <c r="V111" i="1"/>
  <c r="V70" i="1"/>
  <c r="V80" i="1"/>
  <c r="V97" i="1"/>
  <c r="V122" i="1"/>
  <c r="G125" i="1" l="1"/>
  <c r="A125" i="1" s="1"/>
  <c r="V125" i="1" s="1"/>
  <c r="V112" i="1"/>
  <c r="V98" i="1"/>
  <c r="V123" i="1"/>
  <c r="G132" i="1" l="1"/>
  <c r="A132" i="1" s="1"/>
  <c r="V132" i="1" s="1"/>
  <c r="G137" i="1"/>
  <c r="A137" i="1" s="1"/>
  <c r="V137" i="1" s="1"/>
  <c r="G127" i="1"/>
  <c r="A127" i="1" s="1"/>
  <c r="V127" i="1" s="1"/>
  <c r="V138" i="1"/>
  <c r="V113" i="1"/>
  <c r="V133" i="1"/>
  <c r="V99" i="1"/>
  <c r="V128" i="1"/>
  <c r="V129" i="1"/>
  <c r="V139" i="1"/>
  <c r="V100" i="1"/>
  <c r="V114" i="1"/>
  <c r="V134" i="1"/>
  <c r="G145" i="1" l="1"/>
  <c r="A145" i="1" s="1"/>
  <c r="V130" i="1"/>
  <c r="V115" i="1"/>
  <c r="V101" i="1"/>
  <c r="V140" i="1"/>
  <c r="V135" i="1"/>
  <c r="G147" i="1" l="1"/>
  <c r="A147" i="1" s="1"/>
  <c r="V147" i="1" s="1"/>
  <c r="V145" i="1"/>
  <c r="V102" i="1"/>
  <c r="V116" i="1"/>
  <c r="V141" i="1"/>
  <c r="G149" i="1" l="1"/>
  <c r="A149" i="1" s="1"/>
  <c r="V142" i="1"/>
  <c r="V143" i="1"/>
  <c r="V117" i="1"/>
  <c r="V118" i="1" s="1"/>
  <c r="V119" i="1" s="1"/>
  <c r="V103" i="1"/>
  <c r="V104" i="1"/>
  <c r="G151" i="1" l="1"/>
  <c r="A151" i="1" s="1"/>
  <c r="V151" i="1" s="1"/>
  <c r="V149" i="1"/>
  <c r="V105" i="1"/>
  <c r="V106" i="1" s="1"/>
  <c r="V152" i="1"/>
  <c r="V153" i="1"/>
  <c r="V154" i="1" s="1"/>
  <c r="V155" i="1" s="1"/>
  <c r="V156" i="1" s="1"/>
  <c r="G158" i="1" l="1"/>
  <c r="A158" i="1" s="1"/>
  <c r="V107" i="1"/>
  <c r="G169" i="1" l="1"/>
  <c r="A169" i="1" s="1"/>
  <c r="V158" i="1"/>
  <c r="V159" i="1"/>
  <c r="V160" i="1" s="1"/>
  <c r="V161" i="1"/>
  <c r="V162" i="1" s="1"/>
  <c r="V163" i="1"/>
  <c r="V164" i="1" s="1"/>
  <c r="V165" i="1"/>
  <c r="V166" i="1" s="1"/>
  <c r="V167" i="1"/>
  <c r="G174" i="1" l="1"/>
  <c r="A174" i="1" s="1"/>
  <c r="V169" i="1"/>
  <c r="V170" i="1"/>
  <c r="V171" i="1" s="1"/>
  <c r="V172" i="1"/>
  <c r="G176" i="1" l="1"/>
  <c r="A176" i="1" s="1"/>
  <c r="V174" i="1"/>
  <c r="V176" i="1" l="1"/>
  <c r="G180" i="1"/>
  <c r="A180" i="1" s="1"/>
  <c r="V177" i="1"/>
  <c r="V178" i="1" s="1"/>
  <c r="V180" i="1" l="1"/>
  <c r="G182" i="1"/>
  <c r="A182" i="1" s="1"/>
  <c r="G185" i="1"/>
  <c r="A185" i="1" s="1"/>
  <c r="V182" i="1" l="1"/>
  <c r="E1" i="4"/>
  <c r="A1" i="2"/>
  <c r="V183" i="1"/>
  <c r="AA29" i="1" l="1"/>
  <c r="AA22" i="1"/>
  <c r="AA20" i="1"/>
  <c r="AA17" i="1"/>
  <c r="W15" i="1"/>
  <c r="AA11" i="1"/>
  <c r="AA14" i="1"/>
  <c r="W9" i="1"/>
  <c r="AA9" i="1"/>
  <c r="AA5" i="1"/>
  <c r="W6" i="1"/>
  <c r="W194" i="1"/>
  <c r="W193" i="1"/>
  <c r="AA193" i="1"/>
  <c r="W186" i="1"/>
  <c r="W190" i="1"/>
  <c r="W189" i="1"/>
  <c r="W188" i="1"/>
  <c r="W187" i="1"/>
  <c r="W191" i="1"/>
  <c r="W185" i="1"/>
  <c r="W183" i="1"/>
  <c r="AA158" i="1"/>
  <c r="W106" i="1"/>
  <c r="W132" i="1"/>
  <c r="W45" i="1"/>
  <c r="W98" i="1"/>
  <c r="W92" i="1"/>
  <c r="W74" i="1"/>
  <c r="W40" i="1"/>
  <c r="W111" i="1"/>
  <c r="W36" i="1"/>
  <c r="W44" i="1"/>
  <c r="W7" i="1"/>
  <c r="W17" i="1"/>
  <c r="W35" i="1"/>
  <c r="W143" i="1"/>
  <c r="W67" i="1"/>
  <c r="W11" i="1"/>
  <c r="AA88" i="1"/>
  <c r="AA49" i="1"/>
  <c r="AA42" i="1"/>
  <c r="W129" i="1"/>
  <c r="W47" i="1"/>
  <c r="W100" i="1"/>
  <c r="AA10" i="1"/>
  <c r="W141" i="1"/>
  <c r="AA121" i="1"/>
  <c r="W14" i="1"/>
  <c r="W125" i="1"/>
  <c r="W145" i="1"/>
  <c r="AA59" i="1"/>
  <c r="W116" i="1"/>
  <c r="AA145" i="1"/>
  <c r="W29" i="1"/>
  <c r="W137" i="1"/>
  <c r="W22" i="1"/>
  <c r="W12" i="1"/>
  <c r="W94" i="1"/>
  <c r="W38" i="1"/>
  <c r="W95" i="1"/>
  <c r="W118" i="1"/>
  <c r="W73" i="1"/>
  <c r="W37" i="1"/>
  <c r="AA53" i="1"/>
  <c r="W39" i="1"/>
  <c r="AA125" i="1"/>
  <c r="W75" i="1"/>
  <c r="W99" i="1"/>
  <c r="AA109" i="1"/>
  <c r="W122" i="1"/>
  <c r="AA147" i="1"/>
  <c r="W24" i="1"/>
  <c r="AA27" i="1"/>
  <c r="W46" i="1"/>
  <c r="AA51" i="1"/>
  <c r="W107" i="1"/>
  <c r="W151" i="1"/>
  <c r="W153" i="1"/>
  <c r="W134" i="1"/>
  <c r="W79" i="1"/>
  <c r="W88" i="1"/>
  <c r="W21" i="1"/>
  <c r="AA61" i="1"/>
  <c r="W166" i="1"/>
  <c r="AA55" i="1"/>
  <c r="W105" i="1"/>
  <c r="AA151" i="1"/>
  <c r="W104" i="1"/>
  <c r="W20" i="1"/>
  <c r="W25" i="1"/>
  <c r="W80" i="1"/>
  <c r="AA33" i="1"/>
  <c r="W127" i="1"/>
  <c r="W101" i="1"/>
  <c r="W62" i="1"/>
  <c r="W96" i="1"/>
  <c r="W76" i="1"/>
  <c r="W49" i="1"/>
  <c r="W154" i="1"/>
  <c r="W33" i="1"/>
  <c r="W139" i="1"/>
  <c r="AA3" i="1"/>
  <c r="W43" i="1"/>
  <c r="AA16" i="1"/>
  <c r="W114" i="1"/>
  <c r="W78" i="1"/>
  <c r="W64" i="1"/>
  <c r="W77" i="1"/>
  <c r="W13" i="1"/>
  <c r="W10" i="1"/>
  <c r="W31" i="1"/>
  <c r="W42" i="1"/>
  <c r="W142" i="1"/>
  <c r="W53" i="1"/>
  <c r="W70" i="1"/>
  <c r="W82" i="1"/>
  <c r="W57" i="1"/>
  <c r="W34" i="1"/>
  <c r="AA132" i="1"/>
  <c r="W103" i="1"/>
  <c r="W3" i="1"/>
  <c r="W86" i="1"/>
  <c r="W91" i="1"/>
  <c r="W109" i="1"/>
  <c r="W128" i="1"/>
  <c r="AA57" i="1"/>
  <c r="W130" i="1"/>
  <c r="AA24" i="1"/>
  <c r="W27" i="1"/>
  <c r="W149" i="1"/>
  <c r="W28" i="1"/>
  <c r="W110" i="1"/>
  <c r="W61" i="1"/>
  <c r="AA94" i="1"/>
  <c r="W8" i="1"/>
  <c r="W119" i="1"/>
  <c r="W115" i="1"/>
  <c r="W156" i="1"/>
  <c r="AA137" i="1"/>
  <c r="W135" i="1"/>
  <c r="W117" i="1"/>
  <c r="AA90" i="1"/>
  <c r="W72" i="1"/>
  <c r="W97" i="1"/>
  <c r="W133" i="1"/>
  <c r="AA7" i="1"/>
  <c r="W121" i="1"/>
  <c r="W147" i="1"/>
  <c r="W102" i="1"/>
  <c r="W123" i="1"/>
  <c r="W177" i="1"/>
  <c r="AA182" i="1"/>
  <c r="W174" i="1"/>
  <c r="W170" i="1"/>
  <c r="AA185" i="1"/>
  <c r="W180" i="1"/>
  <c r="W178" i="1"/>
  <c r="W172" i="1"/>
  <c r="AA169" i="1"/>
  <c r="W164" i="1"/>
  <c r="W160" i="1"/>
  <c r="AA176" i="1"/>
  <c r="E1" i="2"/>
  <c r="D5" i="2"/>
  <c r="D43" i="2" s="1"/>
  <c r="D81" i="2" s="1"/>
  <c r="E3" i="2"/>
  <c r="E41" i="2" s="1"/>
  <c r="E79" i="2" s="1"/>
  <c r="D7" i="2"/>
  <c r="D45" i="2" s="1"/>
  <c r="D83" i="2" s="1"/>
  <c r="D48" i="4"/>
  <c r="D53" i="4"/>
  <c r="D31" i="4"/>
  <c r="D10" i="4"/>
  <c r="D16" i="4"/>
  <c r="D22" i="4"/>
  <c r="D17" i="4"/>
  <c r="D35" i="4"/>
  <c r="D15" i="4"/>
  <c r="D47" i="4"/>
  <c r="D42" i="4"/>
  <c r="D12" i="4"/>
  <c r="D36" i="4"/>
  <c r="D44" i="4"/>
  <c r="D49" i="4"/>
  <c r="D11" i="4"/>
  <c r="D38" i="4"/>
  <c r="D23" i="4"/>
  <c r="D25" i="4"/>
  <c r="D6" i="4"/>
  <c r="D28" i="4"/>
  <c r="D4" i="4"/>
  <c r="D54" i="4"/>
  <c r="D14" i="4"/>
  <c r="D9" i="4"/>
  <c r="D40" i="4"/>
  <c r="D24" i="4"/>
  <c r="D18" i="4"/>
  <c r="D45" i="4"/>
  <c r="D8" i="4"/>
  <c r="D37" i="4"/>
  <c r="D30" i="4"/>
  <c r="D33" i="4"/>
  <c r="D20" i="4"/>
  <c r="D26" i="4"/>
  <c r="D29" i="4"/>
  <c r="D50" i="4"/>
  <c r="D55" i="4"/>
  <c r="D13" i="4"/>
  <c r="D7" i="4"/>
  <c r="D5" i="4"/>
  <c r="D52" i="4"/>
  <c r="D43" i="4"/>
  <c r="D32" i="4"/>
  <c r="D27" i="4"/>
  <c r="D3" i="4"/>
  <c r="D41" i="4"/>
  <c r="D34" i="4"/>
  <c r="D39" i="4"/>
  <c r="D46" i="4"/>
  <c r="D51" i="4"/>
  <c r="D19" i="4"/>
  <c r="D21" i="4"/>
  <c r="W182" i="1"/>
  <c r="W169" i="1"/>
  <c r="W159" i="1"/>
  <c r="W167" i="1"/>
  <c r="W90" i="1"/>
  <c r="W16" i="1"/>
  <c r="W112" i="1"/>
  <c r="W59" i="1"/>
  <c r="W66" i="1"/>
  <c r="W161" i="1"/>
  <c r="W140" i="1"/>
  <c r="W68" i="1"/>
  <c r="W30" i="1"/>
  <c r="W155" i="1"/>
  <c r="W85" i="1"/>
  <c r="W63" i="1"/>
  <c r="W152" i="1"/>
  <c r="W113" i="1"/>
  <c r="W165" i="1"/>
  <c r="W51" i="1"/>
  <c r="W69" i="1"/>
  <c r="W158" i="1"/>
  <c r="W18" i="1"/>
  <c r="AA82" i="1"/>
  <c r="W65" i="1"/>
  <c r="AA85" i="1"/>
  <c r="AA180" i="1"/>
  <c r="W176" i="1"/>
  <c r="W163" i="1"/>
  <c r="AA149" i="1"/>
  <c r="W55" i="1"/>
  <c r="AA72" i="1"/>
  <c r="W5" i="1"/>
  <c r="W19" i="1"/>
  <c r="W138" i="1"/>
  <c r="AA127" i="1"/>
  <c r="AA174" i="1"/>
  <c r="W162" i="1"/>
  <c r="W171" i="1"/>
  <c r="G1" i="2" l="1"/>
  <c r="I11" i="2" s="1"/>
  <c r="F21" i="4"/>
  <c r="E21" i="4"/>
  <c r="H21" i="4"/>
  <c r="G21" i="4"/>
  <c r="O21" i="4"/>
  <c r="N21" i="4"/>
  <c r="I21" i="4"/>
  <c r="K21" i="4"/>
  <c r="M21" i="4" s="1"/>
  <c r="J21" i="4"/>
  <c r="O51" i="4"/>
  <c r="I51" i="4"/>
  <c r="G51" i="4"/>
  <c r="J51" i="4"/>
  <c r="F51" i="4"/>
  <c r="L51" i="4"/>
  <c r="H51" i="4"/>
  <c r="K51" i="4"/>
  <c r="M51" i="4" s="1"/>
  <c r="N51" i="4"/>
  <c r="E51" i="4"/>
  <c r="O39" i="4"/>
  <c r="F39" i="4"/>
  <c r="N39" i="4"/>
  <c r="E39" i="4"/>
  <c r="G39" i="4"/>
  <c r="H39" i="4"/>
  <c r="K39" i="4"/>
  <c r="M39" i="4" s="1"/>
  <c r="I39" i="4"/>
  <c r="J39" i="4"/>
  <c r="O41" i="4"/>
  <c r="J41" i="4"/>
  <c r="N41" i="4"/>
  <c r="I41" i="4"/>
  <c r="G41" i="4"/>
  <c r="H41" i="4"/>
  <c r="F41" i="4"/>
  <c r="K41" i="4"/>
  <c r="M41" i="4" s="1"/>
  <c r="E41" i="4"/>
  <c r="O27" i="4"/>
  <c r="G27" i="4"/>
  <c r="N27" i="4"/>
  <c r="F27" i="4"/>
  <c r="H27" i="4"/>
  <c r="E27" i="4"/>
  <c r="J27" i="4"/>
  <c r="I27" i="4"/>
  <c r="K27" i="4"/>
  <c r="M27" i="4" s="1"/>
  <c r="H43" i="4"/>
  <c r="I43" i="4"/>
  <c r="L43" i="4"/>
  <c r="J43" i="4"/>
  <c r="O43" i="4"/>
  <c r="N43" i="4"/>
  <c r="G43" i="4"/>
  <c r="F43" i="4"/>
  <c r="E43" i="4"/>
  <c r="K43" i="4"/>
  <c r="M43" i="4" s="1"/>
  <c r="N5" i="4"/>
  <c r="O5" i="4"/>
  <c r="G5" i="4"/>
  <c r="H5" i="4"/>
  <c r="F5" i="4"/>
  <c r="E5" i="4"/>
  <c r="J5" i="4"/>
  <c r="K5" i="4"/>
  <c r="M5" i="4" s="1"/>
  <c r="I5" i="4"/>
  <c r="N13" i="4"/>
  <c r="O13" i="4"/>
  <c r="G13" i="4"/>
  <c r="F13" i="4"/>
  <c r="H13" i="4"/>
  <c r="E13" i="4"/>
  <c r="I13" i="4"/>
  <c r="J13" i="4"/>
  <c r="K13" i="4"/>
  <c r="M13" i="4" s="1"/>
  <c r="E50" i="4"/>
  <c r="K50" i="4"/>
  <c r="M50" i="4" s="1"/>
  <c r="L50" i="4"/>
  <c r="N50" i="4"/>
  <c r="H50" i="4"/>
  <c r="J50" i="4"/>
  <c r="I50" i="4"/>
  <c r="G50" i="4"/>
  <c r="F50" i="4"/>
  <c r="O50" i="4"/>
  <c r="H26" i="4"/>
  <c r="N26" i="4"/>
  <c r="F26" i="4"/>
  <c r="O26" i="4"/>
  <c r="E26" i="4"/>
  <c r="G26" i="4"/>
  <c r="I26" i="4"/>
  <c r="K26" i="4"/>
  <c r="M26" i="4" s="1"/>
  <c r="J26" i="4"/>
  <c r="G33" i="4"/>
  <c r="E33" i="4"/>
  <c r="N33" i="4"/>
  <c r="H33" i="4"/>
  <c r="O33" i="4"/>
  <c r="F33" i="4"/>
  <c r="J33" i="4"/>
  <c r="K33" i="4"/>
  <c r="M33" i="4" s="1"/>
  <c r="I33" i="4"/>
  <c r="L33" i="4"/>
  <c r="O37" i="4"/>
  <c r="E37" i="4"/>
  <c r="N37" i="4"/>
  <c r="G37" i="4"/>
  <c r="F37" i="4"/>
  <c r="H37" i="4"/>
  <c r="J37" i="4"/>
  <c r="I37" i="4"/>
  <c r="K37" i="4"/>
  <c r="M37" i="4" s="1"/>
  <c r="K45" i="4"/>
  <c r="M45" i="4" s="1"/>
  <c r="G45" i="4"/>
  <c r="F45" i="4"/>
  <c r="E45" i="4"/>
  <c r="N45" i="4"/>
  <c r="H45" i="4"/>
  <c r="J45" i="4"/>
  <c r="L45" i="4"/>
  <c r="O45" i="4"/>
  <c r="I45" i="4"/>
  <c r="O24" i="4"/>
  <c r="H24" i="4"/>
  <c r="E24" i="4"/>
  <c r="G24" i="4"/>
  <c r="F24" i="4"/>
  <c r="N24" i="4"/>
  <c r="I24" i="4"/>
  <c r="J24" i="4"/>
  <c r="K24" i="4"/>
  <c r="M24" i="4" s="1"/>
  <c r="N9" i="4"/>
  <c r="G9" i="4"/>
  <c r="F9" i="4"/>
  <c r="O9" i="4"/>
  <c r="E9" i="4"/>
  <c r="H9" i="4"/>
  <c r="J9" i="4"/>
  <c r="K9" i="4"/>
  <c r="M9" i="4" s="1"/>
  <c r="I9" i="4"/>
  <c r="N54" i="4"/>
  <c r="O54" i="4"/>
  <c r="L54" i="4"/>
  <c r="E54" i="4"/>
  <c r="H54" i="4"/>
  <c r="G54" i="4"/>
  <c r="F54" i="4"/>
  <c r="J54" i="4"/>
  <c r="I54" i="4"/>
  <c r="K54" i="4"/>
  <c r="M54" i="4" s="1"/>
  <c r="O28" i="4"/>
  <c r="E28" i="4"/>
  <c r="G28" i="4"/>
  <c r="H28" i="4"/>
  <c r="F28" i="4"/>
  <c r="N28" i="4"/>
  <c r="I28" i="4"/>
  <c r="K28" i="4"/>
  <c r="M28" i="4" s="1"/>
  <c r="J28" i="4"/>
  <c r="L28" i="4"/>
  <c r="E25" i="4"/>
  <c r="O25" i="4"/>
  <c r="H25" i="4"/>
  <c r="N25" i="4"/>
  <c r="G25" i="4"/>
  <c r="F25" i="4"/>
  <c r="K25" i="4"/>
  <c r="M25" i="4" s="1"/>
  <c r="J25" i="4"/>
  <c r="I25" i="4"/>
  <c r="G38" i="4"/>
  <c r="H38" i="4"/>
  <c r="E38" i="4"/>
  <c r="N38" i="4"/>
  <c r="O38" i="4"/>
  <c r="F38" i="4"/>
  <c r="K38" i="4"/>
  <c r="M38" i="4" s="1"/>
  <c r="I38" i="4"/>
  <c r="J38" i="4"/>
  <c r="H49" i="4"/>
  <c r="I49" i="4"/>
  <c r="K49" i="4"/>
  <c r="M49" i="4" s="1"/>
  <c r="L49" i="4"/>
  <c r="E49" i="4"/>
  <c r="O49" i="4"/>
  <c r="N49" i="4"/>
  <c r="J49" i="4"/>
  <c r="F49" i="4"/>
  <c r="G49" i="4"/>
  <c r="F36" i="4"/>
  <c r="N36" i="4"/>
  <c r="O36" i="4"/>
  <c r="H36" i="4"/>
  <c r="E36" i="4"/>
  <c r="G36" i="4"/>
  <c r="I36" i="4"/>
  <c r="J36" i="4"/>
  <c r="K36" i="4"/>
  <c r="M36" i="4" s="1"/>
  <c r="I42" i="4"/>
  <c r="F42" i="4"/>
  <c r="G42" i="4"/>
  <c r="N42" i="4"/>
  <c r="L42" i="4"/>
  <c r="E42" i="4"/>
  <c r="H42" i="4"/>
  <c r="O42" i="4"/>
  <c r="K42" i="4"/>
  <c r="M42" i="4" s="1"/>
  <c r="J42" i="4"/>
  <c r="H15" i="4"/>
  <c r="F15" i="4"/>
  <c r="E15" i="4"/>
  <c r="N15" i="4"/>
  <c r="O15" i="4"/>
  <c r="G15" i="4"/>
  <c r="K15" i="4"/>
  <c r="M15" i="4" s="1"/>
  <c r="I15" i="4"/>
  <c r="J15" i="4"/>
  <c r="F17" i="4"/>
  <c r="G17" i="4"/>
  <c r="H17" i="4"/>
  <c r="N17" i="4"/>
  <c r="E17" i="4"/>
  <c r="O17" i="4"/>
  <c r="J17" i="4"/>
  <c r="I17" i="4"/>
  <c r="K17" i="4"/>
  <c r="M17" i="4" s="1"/>
  <c r="N16" i="4"/>
  <c r="F16" i="4"/>
  <c r="H16" i="4"/>
  <c r="E16" i="4"/>
  <c r="O16" i="4"/>
  <c r="G16" i="4"/>
  <c r="J16" i="4"/>
  <c r="I16" i="4"/>
  <c r="K16" i="4"/>
  <c r="M16" i="4" s="1"/>
  <c r="N31" i="4"/>
  <c r="H31" i="4"/>
  <c r="E31" i="4"/>
  <c r="G31" i="4"/>
  <c r="F31" i="4"/>
  <c r="O31" i="4"/>
  <c r="I31" i="4"/>
  <c r="J31" i="4"/>
  <c r="K31" i="4"/>
  <c r="M31" i="4" s="1"/>
  <c r="G48" i="4"/>
  <c r="F48" i="4"/>
  <c r="K48" i="4"/>
  <c r="M48" i="4" s="1"/>
  <c r="J48" i="4"/>
  <c r="L48" i="4"/>
  <c r="N48" i="4"/>
  <c r="O48" i="4"/>
  <c r="H48" i="4"/>
  <c r="I48" i="4"/>
  <c r="E48" i="4"/>
  <c r="O19" i="4"/>
  <c r="N19" i="4"/>
  <c r="F19" i="4"/>
  <c r="E19" i="4"/>
  <c r="H19" i="4"/>
  <c r="G19" i="4"/>
  <c r="I19" i="4"/>
  <c r="J19" i="4"/>
  <c r="K19" i="4"/>
  <c r="M19" i="4" s="1"/>
  <c r="G46" i="4"/>
  <c r="F46" i="4"/>
  <c r="L46" i="4"/>
  <c r="I46" i="4"/>
  <c r="J46" i="4"/>
  <c r="K46" i="4"/>
  <c r="M46" i="4" s="1"/>
  <c r="H46" i="4"/>
  <c r="E46" i="4"/>
  <c r="O46" i="4"/>
  <c r="N46" i="4"/>
  <c r="N34" i="4"/>
  <c r="F34" i="4"/>
  <c r="E34" i="4"/>
  <c r="O34" i="4"/>
  <c r="G34" i="4"/>
  <c r="H34" i="4"/>
  <c r="J34" i="4"/>
  <c r="I34" i="4"/>
  <c r="K34" i="4"/>
  <c r="M34" i="4" s="1"/>
  <c r="O3" i="4"/>
  <c r="N3" i="4"/>
  <c r="G3" i="4"/>
  <c r="E3" i="4"/>
  <c r="F3" i="4"/>
  <c r="H3" i="4"/>
  <c r="K3" i="4"/>
  <c r="L3" i="4" s="1"/>
  <c r="I3" i="4"/>
  <c r="J3" i="4"/>
  <c r="H32" i="4"/>
  <c r="F32" i="4"/>
  <c r="E32" i="4"/>
  <c r="G32" i="4"/>
  <c r="N32" i="4"/>
  <c r="O32" i="4"/>
  <c r="K32" i="4"/>
  <c r="M32" i="4" s="1"/>
  <c r="I32" i="4"/>
  <c r="J32" i="4"/>
  <c r="G52" i="4"/>
  <c r="H52" i="4"/>
  <c r="N52" i="4"/>
  <c r="J52" i="4"/>
  <c r="K52" i="4"/>
  <c r="M52" i="4" s="1"/>
  <c r="I52" i="4"/>
  <c r="F52" i="4"/>
  <c r="E52" i="4"/>
  <c r="O52" i="4"/>
  <c r="L52" i="4"/>
  <c r="H7" i="4"/>
  <c r="G7" i="4"/>
  <c r="O7" i="4"/>
  <c r="E7" i="4"/>
  <c r="N7" i="4"/>
  <c r="F7" i="4"/>
  <c r="J7" i="4"/>
  <c r="I7" i="4"/>
  <c r="K7" i="4"/>
  <c r="M7" i="4" s="1"/>
  <c r="K55" i="4"/>
  <c r="M55" i="4" s="1"/>
  <c r="J55" i="4"/>
  <c r="E55" i="4"/>
  <c r="L55" i="4"/>
  <c r="I55" i="4"/>
  <c r="F55" i="4"/>
  <c r="G55" i="4"/>
  <c r="O55" i="4"/>
  <c r="N55" i="4"/>
  <c r="H55" i="4"/>
  <c r="F29" i="4"/>
  <c r="H29" i="4"/>
  <c r="G29" i="4"/>
  <c r="O29" i="4"/>
  <c r="E29" i="4"/>
  <c r="N29" i="4"/>
  <c r="I29" i="4"/>
  <c r="K29" i="4"/>
  <c r="M29" i="4" s="1"/>
  <c r="J29" i="4"/>
  <c r="N20" i="4"/>
  <c r="E20" i="4"/>
  <c r="O20" i="4"/>
  <c r="F20" i="4"/>
  <c r="H20" i="4"/>
  <c r="G20" i="4"/>
  <c r="J20" i="4"/>
  <c r="K20" i="4"/>
  <c r="M20" i="4" s="1"/>
  <c r="I20" i="4"/>
  <c r="N30" i="4"/>
  <c r="E30" i="4"/>
  <c r="H30" i="4"/>
  <c r="O30" i="4"/>
  <c r="F30" i="4"/>
  <c r="G30" i="4"/>
  <c r="I30" i="4"/>
  <c r="J30" i="4"/>
  <c r="K30" i="4"/>
  <c r="M30" i="4" s="1"/>
  <c r="N8" i="4"/>
  <c r="O8" i="4"/>
  <c r="G8" i="4"/>
  <c r="F8" i="4"/>
  <c r="H8" i="4"/>
  <c r="E8" i="4"/>
  <c r="K8" i="4"/>
  <c r="M8" i="4" s="1"/>
  <c r="J8" i="4"/>
  <c r="I8" i="4"/>
  <c r="E18" i="4"/>
  <c r="G18" i="4"/>
  <c r="N18" i="4"/>
  <c r="O18" i="4"/>
  <c r="H18" i="4"/>
  <c r="F18" i="4"/>
  <c r="I18" i="4"/>
  <c r="K18" i="4"/>
  <c r="M18" i="4" s="1"/>
  <c r="J18" i="4"/>
  <c r="O40" i="4"/>
  <c r="H40" i="4"/>
  <c r="E40" i="4"/>
  <c r="F40" i="4"/>
  <c r="G40" i="4"/>
  <c r="N40" i="4"/>
  <c r="K40" i="4"/>
  <c r="M40" i="4" s="1"/>
  <c r="I40" i="4"/>
  <c r="J40" i="4"/>
  <c r="F14" i="4"/>
  <c r="G14" i="4"/>
  <c r="N14" i="4"/>
  <c r="O14" i="4"/>
  <c r="E14" i="4"/>
  <c r="H14" i="4"/>
  <c r="I14" i="4"/>
  <c r="J14" i="4"/>
  <c r="K14" i="4"/>
  <c r="M14" i="4" s="1"/>
  <c r="G4" i="4"/>
  <c r="O4" i="4"/>
  <c r="H4" i="4"/>
  <c r="F4" i="4"/>
  <c r="E4" i="4"/>
  <c r="N4" i="4"/>
  <c r="J4" i="4"/>
  <c r="K4" i="4"/>
  <c r="M4" i="4" s="1"/>
  <c r="I4" i="4"/>
  <c r="O6" i="4"/>
  <c r="F6" i="4"/>
  <c r="N6" i="4"/>
  <c r="G6" i="4"/>
  <c r="E6" i="4"/>
  <c r="H6" i="4"/>
  <c r="K6" i="4"/>
  <c r="M6" i="4" s="1"/>
  <c r="I6" i="4"/>
  <c r="J6" i="4"/>
  <c r="N23" i="4"/>
  <c r="H23" i="4"/>
  <c r="E23" i="4"/>
  <c r="O23" i="4"/>
  <c r="G23" i="4"/>
  <c r="F23" i="4"/>
  <c r="K23" i="4"/>
  <c r="M23" i="4" s="1"/>
  <c r="I23" i="4"/>
  <c r="J23" i="4"/>
  <c r="G11" i="4"/>
  <c r="O11" i="4"/>
  <c r="H11" i="4"/>
  <c r="F11" i="4"/>
  <c r="N11" i="4"/>
  <c r="E11" i="4"/>
  <c r="I11" i="4"/>
  <c r="K11" i="4"/>
  <c r="M11" i="4" s="1"/>
  <c r="J11" i="4"/>
  <c r="E44" i="4"/>
  <c r="H44" i="4"/>
  <c r="K44" i="4"/>
  <c r="M44" i="4" s="1"/>
  <c r="J44" i="4"/>
  <c r="L44" i="4"/>
  <c r="I44" i="4"/>
  <c r="N44" i="4"/>
  <c r="O44" i="4"/>
  <c r="F44" i="4"/>
  <c r="G44" i="4"/>
  <c r="E12" i="4"/>
  <c r="N12" i="4"/>
  <c r="G12" i="4"/>
  <c r="H12" i="4"/>
  <c r="F12" i="4"/>
  <c r="O12" i="4"/>
  <c r="I12" i="4"/>
  <c r="J12" i="4"/>
  <c r="K12" i="4"/>
  <c r="M12" i="4" s="1"/>
  <c r="O47" i="4"/>
  <c r="E47" i="4"/>
  <c r="H47" i="4"/>
  <c r="N47" i="4"/>
  <c r="L47" i="4"/>
  <c r="F47" i="4"/>
  <c r="G47" i="4"/>
  <c r="I47" i="4"/>
  <c r="K47" i="4"/>
  <c r="M47" i="4" s="1"/>
  <c r="J47" i="4"/>
  <c r="E35" i="4"/>
  <c r="N35" i="4"/>
  <c r="G35" i="4"/>
  <c r="F35" i="4"/>
  <c r="H35" i="4"/>
  <c r="O35" i="4"/>
  <c r="K35" i="4"/>
  <c r="M35" i="4" s="1"/>
  <c r="I35" i="4"/>
  <c r="J35" i="4"/>
  <c r="E22" i="4"/>
  <c r="G22" i="4"/>
  <c r="H22" i="4"/>
  <c r="F22" i="4"/>
  <c r="O22" i="4"/>
  <c r="N22" i="4"/>
  <c r="K22" i="4"/>
  <c r="M22" i="4" s="1"/>
  <c r="J22" i="4"/>
  <c r="I22" i="4"/>
  <c r="O10" i="4"/>
  <c r="F10" i="4"/>
  <c r="N10" i="4"/>
  <c r="E10" i="4"/>
  <c r="H10" i="4"/>
  <c r="G10" i="4"/>
  <c r="I10" i="4"/>
  <c r="K10" i="4"/>
  <c r="M10" i="4" s="1"/>
  <c r="J10" i="4"/>
  <c r="O53" i="4"/>
  <c r="I53" i="4"/>
  <c r="G53" i="4"/>
  <c r="F53" i="4"/>
  <c r="E53" i="4"/>
  <c r="J53" i="4"/>
  <c r="K53" i="4"/>
  <c r="M53" i="4" s="1"/>
  <c r="N53" i="4"/>
  <c r="H53" i="4"/>
  <c r="L53" i="4"/>
  <c r="H3" i="2"/>
  <c r="H41" i="2" s="1"/>
  <c r="H79" i="2" s="1"/>
  <c r="H5" i="2"/>
  <c r="H43" i="2" s="1"/>
  <c r="H81" i="2" s="1"/>
  <c r="H6" i="2"/>
  <c r="H44" i="2" s="1"/>
  <c r="H82" i="2" s="1"/>
  <c r="C12" i="2" l="1"/>
  <c r="C50" i="2" s="1"/>
  <c r="C88" i="2" s="1"/>
  <c r="I49" i="2"/>
  <c r="I87" i="2" s="1"/>
  <c r="C20" i="2"/>
  <c r="C58" i="2" s="1"/>
  <c r="C96" i="2" s="1"/>
  <c r="E16" i="2"/>
  <c r="E54" i="2" s="1"/>
  <c r="E92" i="2" s="1"/>
  <c r="D26" i="2"/>
  <c r="D64" i="2" s="1"/>
  <c r="D102" i="2" s="1"/>
  <c r="D20" i="2"/>
  <c r="D58" i="2" s="1"/>
  <c r="D96" i="2" s="1"/>
  <c r="C19" i="2"/>
  <c r="C57" i="2" s="1"/>
  <c r="C95" i="2" s="1"/>
  <c r="I16" i="2"/>
  <c r="I54" i="2" s="1"/>
  <c r="I92" i="2" s="1"/>
  <c r="H22" i="2"/>
  <c r="H60" i="2" s="1"/>
  <c r="H98" i="2" s="1"/>
  <c r="E19" i="2"/>
  <c r="E57" i="2" s="1"/>
  <c r="E95" i="2" s="1"/>
  <c r="J20" i="2"/>
  <c r="J58" i="2" s="1"/>
  <c r="J96" i="2" s="1"/>
  <c r="H14" i="2"/>
  <c r="H52" i="2" s="1"/>
  <c r="H90" i="2" s="1"/>
  <c r="K26" i="2"/>
  <c r="K64" i="2" s="1"/>
  <c r="K102" i="2" s="1"/>
  <c r="E23" i="2"/>
  <c r="E61" i="2" s="1"/>
  <c r="E99" i="2" s="1"/>
  <c r="E15" i="2"/>
  <c r="E53" i="2" s="1"/>
  <c r="E91" i="2" s="1"/>
  <c r="K11" i="2"/>
  <c r="K49" i="2" s="1"/>
  <c r="K87" i="2" s="1"/>
  <c r="B17" i="2"/>
  <c r="B55" i="2" s="1"/>
  <c r="B93" i="2" s="1"/>
  <c r="K23" i="2"/>
  <c r="K61" i="2" s="1"/>
  <c r="K99" i="2" s="1"/>
  <c r="C13" i="2"/>
  <c r="C51" i="2" s="1"/>
  <c r="C89" i="2" s="1"/>
  <c r="C25" i="2"/>
  <c r="C63" i="2" s="1"/>
  <c r="C101" i="2" s="1"/>
  <c r="H26" i="2"/>
  <c r="H64" i="2" s="1"/>
  <c r="H102" i="2" s="1"/>
  <c r="E22" i="2"/>
  <c r="E60" i="2" s="1"/>
  <c r="E98" i="2" s="1"/>
  <c r="C18" i="2"/>
  <c r="C56" i="2" s="1"/>
  <c r="C94" i="2" s="1"/>
  <c r="J21" i="2"/>
  <c r="J59" i="2" s="1"/>
  <c r="J97" i="2" s="1"/>
  <c r="J18" i="2"/>
  <c r="J56" i="2" s="1"/>
  <c r="J94" i="2" s="1"/>
  <c r="H24" i="2"/>
  <c r="H62" i="2" s="1"/>
  <c r="H100" i="2" s="1"/>
  <c r="H13" i="2"/>
  <c r="H51" i="2" s="1"/>
  <c r="H89" i="2" s="1"/>
  <c r="I19" i="2"/>
  <c r="I57" i="2" s="1"/>
  <c r="I95" i="2" s="1"/>
  <c r="D23" i="2"/>
  <c r="D61" i="2" s="1"/>
  <c r="D99" i="2" s="1"/>
  <c r="H21" i="2"/>
  <c r="H59" i="2" s="1"/>
  <c r="H97" i="2" s="1"/>
  <c r="H18" i="2"/>
  <c r="H56" i="2" s="1"/>
  <c r="H94" i="2" s="1"/>
  <c r="I26" i="2"/>
  <c r="I64" i="2" s="1"/>
  <c r="I102" i="2" s="1"/>
  <c r="E24" i="2"/>
  <c r="E62" i="2" s="1"/>
  <c r="E100" i="2" s="1"/>
  <c r="I14" i="2"/>
  <c r="I52" i="2" s="1"/>
  <c r="I90" i="2" s="1"/>
  <c r="I18" i="2"/>
  <c r="I56" i="2" s="1"/>
  <c r="I94" i="2" s="1"/>
  <c r="J13" i="2"/>
  <c r="J51" i="2" s="1"/>
  <c r="J89" i="2" s="1"/>
  <c r="D22" i="2"/>
  <c r="D60" i="2" s="1"/>
  <c r="D98" i="2" s="1"/>
  <c r="D12" i="2"/>
  <c r="D50" i="2" s="1"/>
  <c r="D88" i="2" s="1"/>
  <c r="J14" i="2"/>
  <c r="J52" i="2" s="1"/>
  <c r="J90" i="2" s="1"/>
  <c r="E11" i="2"/>
  <c r="E49" i="2" s="1"/>
  <c r="E87" i="2" s="1"/>
  <c r="B15" i="2"/>
  <c r="B53" i="2" s="1"/>
  <c r="B91" i="2" s="1"/>
  <c r="H16" i="2"/>
  <c r="H54" i="2" s="1"/>
  <c r="H92" i="2" s="1"/>
  <c r="E26" i="2"/>
  <c r="E64" i="2" s="1"/>
  <c r="E102" i="2" s="1"/>
  <c r="C17" i="2"/>
  <c r="C55" i="2" s="1"/>
  <c r="C93" i="2" s="1"/>
  <c r="B20" i="2"/>
  <c r="B58" i="2" s="1"/>
  <c r="B96" i="2" s="1"/>
  <c r="C14" i="2"/>
  <c r="C52" i="2" s="1"/>
  <c r="C90" i="2" s="1"/>
  <c r="I15" i="2"/>
  <c r="I53" i="2" s="1"/>
  <c r="I91" i="2" s="1"/>
  <c r="E21" i="2"/>
  <c r="E59" i="2" s="1"/>
  <c r="E97" i="2" s="1"/>
  <c r="I22" i="2"/>
  <c r="I60" i="2" s="1"/>
  <c r="I98" i="2" s="1"/>
  <c r="J12" i="2"/>
  <c r="J50" i="2" s="1"/>
  <c r="J88" i="2" s="1"/>
  <c r="E17" i="2"/>
  <c r="E55" i="2" s="1"/>
  <c r="E93" i="2" s="1"/>
  <c r="B23" i="2"/>
  <c r="B61" i="2" s="1"/>
  <c r="B99" i="2" s="1"/>
  <c r="J23" i="2"/>
  <c r="J61" i="2" s="1"/>
  <c r="J99" i="2" s="1"/>
  <c r="J17" i="2"/>
  <c r="J55" i="2" s="1"/>
  <c r="J93" i="2" s="1"/>
  <c r="E20" i="2"/>
  <c r="E58" i="2" s="1"/>
  <c r="E96" i="2" s="1"/>
  <c r="I21" i="2"/>
  <c r="I59" i="2" s="1"/>
  <c r="I97" i="2" s="1"/>
  <c r="B13" i="2"/>
  <c r="B51" i="2" s="1"/>
  <c r="B89" i="2" s="1"/>
  <c r="C22" i="2"/>
  <c r="C60" i="2" s="1"/>
  <c r="C98" i="2" s="1"/>
  <c r="C11" i="2"/>
  <c r="C49" i="2" s="1"/>
  <c r="C87" i="2" s="1"/>
  <c r="C24" i="2"/>
  <c r="C62" i="2" s="1"/>
  <c r="C100" i="2" s="1"/>
  <c r="K25" i="2"/>
  <c r="K63" i="2" s="1"/>
  <c r="K101" i="2" s="1"/>
  <c r="K12" i="2"/>
  <c r="K50" i="2" s="1"/>
  <c r="K88" i="2" s="1"/>
  <c r="I17" i="2"/>
  <c r="I55" i="2" s="1"/>
  <c r="I93" i="2" s="1"/>
  <c r="I12" i="2"/>
  <c r="I50" i="2" s="1"/>
  <c r="I88" i="2" s="1"/>
  <c r="K15" i="2"/>
  <c r="K53" i="2" s="1"/>
  <c r="K91" i="2" s="1"/>
  <c r="H19" i="2"/>
  <c r="H57" i="2" s="1"/>
  <c r="H95" i="2" s="1"/>
  <c r="J19" i="2"/>
  <c r="J57" i="2" s="1"/>
  <c r="J95" i="2" s="1"/>
  <c r="J22" i="2"/>
  <c r="J60" i="2" s="1"/>
  <c r="J98" i="2" s="1"/>
  <c r="K21" i="2"/>
  <c r="K59" i="2" s="1"/>
  <c r="K97" i="2" s="1"/>
  <c r="E13" i="2"/>
  <c r="E51" i="2" s="1"/>
  <c r="E89" i="2" s="1"/>
  <c r="B22" i="2"/>
  <c r="B60" i="2" s="1"/>
  <c r="B98" i="2" s="1"/>
  <c r="B11" i="2"/>
  <c r="B49" i="2" s="1"/>
  <c r="B87" i="2" s="1"/>
  <c r="C26" i="2"/>
  <c r="C64" i="2" s="1"/>
  <c r="C102" i="2" s="1"/>
  <c r="D15" i="2"/>
  <c r="D53" i="2" s="1"/>
  <c r="D91" i="2" s="1"/>
  <c r="D16" i="2"/>
  <c r="D54" i="2" s="1"/>
  <c r="D92" i="2" s="1"/>
  <c r="B16" i="2"/>
  <c r="B54" i="2" s="1"/>
  <c r="B92" i="2" s="1"/>
  <c r="I23" i="2"/>
  <c r="I61" i="2" s="1"/>
  <c r="I99" i="2" s="1"/>
  <c r="K17" i="2"/>
  <c r="K55" i="2" s="1"/>
  <c r="K93" i="2" s="1"/>
  <c r="D17" i="2"/>
  <c r="D55" i="2" s="1"/>
  <c r="D93" i="2" s="1"/>
  <c r="J16" i="2"/>
  <c r="J54" i="2" s="1"/>
  <c r="J92" i="2" s="1"/>
  <c r="J11" i="2"/>
  <c r="J49" i="2" s="1"/>
  <c r="J87" i="2" s="1"/>
  <c r="D11" i="2"/>
  <c r="D49" i="2" s="1"/>
  <c r="D87" i="2" s="1"/>
  <c r="B12" i="2"/>
  <c r="B50" i="2" s="1"/>
  <c r="B88" i="2" s="1"/>
  <c r="D18" i="2"/>
  <c r="D56" i="2" s="1"/>
  <c r="D94" i="2" s="1"/>
  <c r="C15" i="2"/>
  <c r="C53" i="2" s="1"/>
  <c r="C91" i="2" s="1"/>
  <c r="H11" i="2"/>
  <c r="H49" i="2" s="1"/>
  <c r="H87" i="2" s="1"/>
  <c r="H17" i="2"/>
  <c r="H55" i="2" s="1"/>
  <c r="H93" i="2" s="1"/>
  <c r="K16" i="2"/>
  <c r="K54" i="2" s="1"/>
  <c r="K92" i="2" s="1"/>
  <c r="H20" i="2"/>
  <c r="H58" i="2" s="1"/>
  <c r="H96" i="2" s="1"/>
  <c r="D21" i="2"/>
  <c r="D59" i="2" s="1"/>
  <c r="D97" i="2" s="1"/>
  <c r="B18" i="2"/>
  <c r="B56" i="2" s="1"/>
  <c r="B94" i="2" s="1"/>
  <c r="K13" i="2"/>
  <c r="K51" i="2" s="1"/>
  <c r="K89" i="2" s="1"/>
  <c r="C16" i="2"/>
  <c r="C54" i="2" s="1"/>
  <c r="C92" i="2" s="1"/>
  <c r="B25" i="2"/>
  <c r="B63" i="2" s="1"/>
  <c r="B101" i="2" s="1"/>
  <c r="B19" i="2"/>
  <c r="B57" i="2" s="1"/>
  <c r="B95" i="2" s="1"/>
  <c r="E25" i="2"/>
  <c r="E63" i="2" s="1"/>
  <c r="E101" i="2" s="1"/>
  <c r="D19" i="2"/>
  <c r="D57" i="2" s="1"/>
  <c r="D95" i="2" s="1"/>
  <c r="B24" i="2"/>
  <c r="B62" i="2" s="1"/>
  <c r="B100" i="2" s="1"/>
  <c r="H23" i="2"/>
  <c r="H61" i="2" s="1"/>
  <c r="H99" i="2" s="1"/>
  <c r="K18" i="2"/>
  <c r="K56" i="2" s="1"/>
  <c r="K94" i="2" s="1"/>
  <c r="J15" i="2"/>
  <c r="J53" i="2" s="1"/>
  <c r="J91" i="2" s="1"/>
  <c r="C21" i="2"/>
  <c r="C59" i="2" s="1"/>
  <c r="C97" i="2" s="1"/>
  <c r="E12" i="2"/>
  <c r="E50" i="2" s="1"/>
  <c r="E88" i="2" s="1"/>
  <c r="K22" i="2"/>
  <c r="K60" i="2" s="1"/>
  <c r="K98" i="2" s="1"/>
  <c r="I13" i="2"/>
  <c r="I51" i="2" s="1"/>
  <c r="I89" i="2" s="1"/>
  <c r="E14" i="2"/>
  <c r="E52" i="2" s="1"/>
  <c r="E90" i="2" s="1"/>
  <c r="J26" i="2"/>
  <c r="J64" i="2" s="1"/>
  <c r="J102" i="2" s="1"/>
  <c r="I20" i="2"/>
  <c r="I58" i="2" s="1"/>
  <c r="I96" i="2" s="1"/>
  <c r="K14" i="2"/>
  <c r="K52" i="2" s="1"/>
  <c r="K90" i="2" s="1"/>
  <c r="B26" i="2"/>
  <c r="B64" i="2" s="1"/>
  <c r="B102" i="2" s="1"/>
  <c r="D25" i="2"/>
  <c r="D63" i="2" s="1"/>
  <c r="D101" i="2" s="1"/>
  <c r="E18" i="2"/>
  <c r="E56" i="2" s="1"/>
  <c r="E94" i="2" s="1"/>
  <c r="D24" i="2"/>
  <c r="D62" i="2" s="1"/>
  <c r="D100" i="2" s="1"/>
  <c r="I25" i="2"/>
  <c r="I63" i="2" s="1"/>
  <c r="I101" i="2" s="1"/>
  <c r="J24" i="2"/>
  <c r="J62" i="2" s="1"/>
  <c r="J100" i="2" s="1"/>
  <c r="B21" i="2"/>
  <c r="B59" i="2" s="1"/>
  <c r="B97" i="2" s="1"/>
  <c r="K19" i="2"/>
  <c r="K57" i="2" s="1"/>
  <c r="K95" i="2" s="1"/>
  <c r="K24" i="2"/>
  <c r="K62" i="2" s="1"/>
  <c r="K100" i="2" s="1"/>
  <c r="I24" i="2"/>
  <c r="I62" i="2" s="1"/>
  <c r="I100" i="2" s="1"/>
  <c r="D13" i="2"/>
  <c r="D51" i="2" s="1"/>
  <c r="D89" i="2" s="1"/>
  <c r="D14" i="2"/>
  <c r="D52" i="2" s="1"/>
  <c r="D90" i="2" s="1"/>
  <c r="K20" i="2"/>
  <c r="K58" i="2" s="1"/>
  <c r="K96" i="2" s="1"/>
  <c r="C23" i="2"/>
  <c r="C61" i="2" s="1"/>
  <c r="C99" i="2" s="1"/>
  <c r="H25" i="2"/>
  <c r="H63" i="2" s="1"/>
  <c r="H101" i="2" s="1"/>
  <c r="J25" i="2"/>
  <c r="J63" i="2" s="1"/>
  <c r="J101" i="2" s="1"/>
  <c r="B14" i="2"/>
  <c r="B52" i="2" s="1"/>
  <c r="B90" i="2" s="1"/>
  <c r="H15" i="2"/>
  <c r="H53" i="2" s="1"/>
  <c r="H91" i="2" s="1"/>
  <c r="H12" i="2"/>
  <c r="H50" i="2" s="1"/>
  <c r="H88" i="2" s="1"/>
  <c r="J37" i="2"/>
  <c r="J75" i="2" s="1"/>
  <c r="J113" i="2" s="1"/>
  <c r="J38" i="2"/>
  <c r="L4" i="4"/>
  <c r="R22" i="4"/>
  <c r="S22" i="4" s="1"/>
  <c r="T22" i="4" s="1"/>
  <c r="R35" i="4"/>
  <c r="S35" i="4" s="1"/>
  <c r="T35" i="4" s="1"/>
  <c r="R47" i="4"/>
  <c r="S47" i="4" s="1"/>
  <c r="T47" i="4" s="1"/>
  <c r="R44" i="4"/>
  <c r="S44" i="4" s="1"/>
  <c r="T44" i="4" s="1"/>
  <c r="R11" i="4"/>
  <c r="S11" i="4" s="1"/>
  <c r="T11" i="4" s="1"/>
  <c r="R4" i="4"/>
  <c r="S4" i="4" s="1"/>
  <c r="T4" i="4" s="1"/>
  <c r="R14" i="4"/>
  <c r="S14" i="4" s="1"/>
  <c r="T14" i="4" s="1"/>
  <c r="R40" i="4"/>
  <c r="S40" i="4" s="1"/>
  <c r="T40" i="4" s="1"/>
  <c r="R18" i="4"/>
  <c r="S18" i="4" s="1"/>
  <c r="T18" i="4" s="1"/>
  <c r="R8" i="4"/>
  <c r="S8" i="4" s="1"/>
  <c r="T8" i="4" s="1"/>
  <c r="R30" i="4"/>
  <c r="S30" i="4" s="1"/>
  <c r="T30" i="4" s="1"/>
  <c r="R52" i="4"/>
  <c r="S52" i="4" s="1"/>
  <c r="T52" i="4" s="1"/>
  <c r="R32" i="4"/>
  <c r="S32" i="4" s="1"/>
  <c r="T32" i="4" s="1"/>
  <c r="R3" i="4"/>
  <c r="S3" i="4" s="1"/>
  <c r="R48" i="4"/>
  <c r="S48" i="4" s="1"/>
  <c r="T48" i="4" s="1"/>
  <c r="R31" i="4"/>
  <c r="S31" i="4" s="1"/>
  <c r="T31" i="4" s="1"/>
  <c r="R17" i="4"/>
  <c r="S17" i="4" s="1"/>
  <c r="T17" i="4" s="1"/>
  <c r="R42" i="4"/>
  <c r="S42" i="4" s="1"/>
  <c r="T42" i="4" s="1"/>
  <c r="R36" i="4"/>
  <c r="S36" i="4" s="1"/>
  <c r="T36" i="4" s="1"/>
  <c r="R49" i="4"/>
  <c r="S49" i="4" s="1"/>
  <c r="T49" i="4" s="1"/>
  <c r="R38" i="4"/>
  <c r="S38" i="4" s="1"/>
  <c r="T38" i="4" s="1"/>
  <c r="R54" i="4"/>
  <c r="S54" i="4" s="1"/>
  <c r="T54" i="4" s="1"/>
  <c r="R24" i="4"/>
  <c r="S24" i="4" s="1"/>
  <c r="T24" i="4" s="1"/>
  <c r="R45" i="4"/>
  <c r="S45" i="4" s="1"/>
  <c r="T45" i="4" s="1"/>
  <c r="R33" i="4"/>
  <c r="S33" i="4" s="1"/>
  <c r="T33" i="4" s="1"/>
  <c r="R26" i="4"/>
  <c r="S26" i="4" s="1"/>
  <c r="T26" i="4" s="1"/>
  <c r="R50" i="4"/>
  <c r="S50" i="4" s="1"/>
  <c r="T50" i="4" s="1"/>
  <c r="R13" i="4"/>
  <c r="S13" i="4" s="1"/>
  <c r="T13" i="4" s="1"/>
  <c r="R39" i="4"/>
  <c r="S39" i="4" s="1"/>
  <c r="T39" i="4" s="1"/>
  <c r="R51" i="4"/>
  <c r="S51" i="4" s="1"/>
  <c r="T51" i="4" s="1"/>
  <c r="R21" i="4"/>
  <c r="S21" i="4" s="1"/>
  <c r="T21" i="4" s="1"/>
  <c r="R53" i="4"/>
  <c r="S53" i="4" s="1"/>
  <c r="T53" i="4" s="1"/>
  <c r="R10" i="4"/>
  <c r="S10" i="4" s="1"/>
  <c r="T10" i="4" s="1"/>
  <c r="R12" i="4"/>
  <c r="S12" i="4" s="1"/>
  <c r="T12" i="4" s="1"/>
  <c r="R23" i="4"/>
  <c r="S23" i="4" s="1"/>
  <c r="T23" i="4" s="1"/>
  <c r="R6" i="4"/>
  <c r="S6" i="4" s="1"/>
  <c r="T6" i="4" s="1"/>
  <c r="R20" i="4"/>
  <c r="S20" i="4" s="1"/>
  <c r="T20" i="4" s="1"/>
  <c r="R29" i="4"/>
  <c r="S29" i="4" s="1"/>
  <c r="T29" i="4" s="1"/>
  <c r="R55" i="4"/>
  <c r="S55" i="4" s="1"/>
  <c r="T55" i="4" s="1"/>
  <c r="R7" i="4"/>
  <c r="S7" i="4" s="1"/>
  <c r="T7" i="4" s="1"/>
  <c r="R34" i="4"/>
  <c r="S34" i="4" s="1"/>
  <c r="T34" i="4" s="1"/>
  <c r="R46" i="4"/>
  <c r="S46" i="4" s="1"/>
  <c r="T46" i="4" s="1"/>
  <c r="R19" i="4"/>
  <c r="S19" i="4" s="1"/>
  <c r="T19" i="4" s="1"/>
  <c r="R16" i="4"/>
  <c r="S16" i="4" s="1"/>
  <c r="T16" i="4" s="1"/>
  <c r="R15" i="4"/>
  <c r="S15" i="4" s="1"/>
  <c r="T15" i="4" s="1"/>
  <c r="R25" i="4"/>
  <c r="S25" i="4" s="1"/>
  <c r="T25" i="4" s="1"/>
  <c r="R28" i="4"/>
  <c r="S28" i="4" s="1"/>
  <c r="T28" i="4" s="1"/>
  <c r="R9" i="4"/>
  <c r="S9" i="4" s="1"/>
  <c r="T9" i="4" s="1"/>
  <c r="R37" i="4"/>
  <c r="S37" i="4" s="1"/>
  <c r="T37" i="4" s="1"/>
  <c r="R5" i="4"/>
  <c r="S5" i="4" s="1"/>
  <c r="T5" i="4" s="1"/>
  <c r="R43" i="4"/>
  <c r="S43" i="4" s="1"/>
  <c r="T43" i="4" s="1"/>
  <c r="R27" i="4"/>
  <c r="S27" i="4" s="1"/>
  <c r="T27" i="4" s="1"/>
  <c r="R41" i="4"/>
  <c r="S41" i="4" s="1"/>
  <c r="T41" i="4" s="1"/>
  <c r="L9" i="4"/>
  <c r="L5" i="4"/>
  <c r="L21" i="4"/>
  <c r="L41" i="4"/>
  <c r="L18" i="4"/>
  <c r="L20" i="4"/>
  <c r="L29" i="4"/>
  <c r="L26" i="4"/>
  <c r="J29" i="2"/>
  <c r="J67" i="2" s="1"/>
  <c r="J105" i="2" s="1"/>
  <c r="L11" i="4"/>
  <c r="L10" i="4"/>
  <c r="L24" i="4"/>
  <c r="L22" i="4"/>
  <c r="L35" i="4"/>
  <c r="L12" i="4"/>
  <c r="L23" i="4"/>
  <c r="L6" i="4"/>
  <c r="L14" i="4"/>
  <c r="L40" i="4"/>
  <c r="L8" i="4"/>
  <c r="L30" i="4"/>
  <c r="L7" i="4"/>
  <c r="L32" i="4"/>
  <c r="I56" i="4"/>
  <c r="L34" i="4"/>
  <c r="L19" i="4"/>
  <c r="L31" i="4"/>
  <c r="L16" i="4"/>
  <c r="L17" i="4"/>
  <c r="L15" i="4"/>
  <c r="L36" i="4"/>
  <c r="L38" i="4"/>
  <c r="L25" i="4"/>
  <c r="L37" i="4"/>
  <c r="L13" i="4"/>
  <c r="L27" i="4"/>
  <c r="L39" i="4"/>
  <c r="J56" i="4"/>
  <c r="K56" i="4"/>
  <c r="M3" i="4"/>
  <c r="K35" i="2" s="1"/>
  <c r="K73" i="2" s="1"/>
  <c r="K111" i="2" s="1"/>
  <c r="T3" i="4" l="1"/>
  <c r="J33" i="2"/>
  <c r="J71" i="2" s="1"/>
  <c r="J109" i="2" s="1"/>
  <c r="K31" i="2"/>
  <c r="K69" i="2" s="1"/>
  <c r="K107" i="2" s="1"/>
  <c r="W3" i="4"/>
  <c r="M56" i="4"/>
  <c r="W2" i="4"/>
  <c r="W4" i="4" s="1"/>
  <c r="L56" i="4"/>
</calcChain>
</file>

<file path=xl/sharedStrings.xml><?xml version="1.0" encoding="utf-8"?>
<sst xmlns="http://schemas.openxmlformats.org/spreadsheetml/2006/main" count="308" uniqueCount="189">
  <si>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</si>
  <si>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</si>
  <si>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</si>
  <si>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</si>
  <si>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</si>
  <si>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</si>
  <si>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</si>
  <si>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</si>
  <si>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</si>
  <si>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</si>
  <si>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</si>
  <si>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</si>
  <si>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</si>
  <si>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</si>
  <si>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</si>
  <si>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</si>
  <si>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</si>
  <si>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</si>
  <si>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</si>
  <si>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</si>
  <si>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</si>
  <si>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</si>
  <si>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</si>
  <si>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</si>
  <si>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</si>
  <si>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</si>
  <si>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</si>
  <si>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</si>
  <si>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</si>
  <si>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</si>
  <si>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</si>
  <si>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</si>
  <si>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</si>
  <si>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</si>
  <si>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</si>
  <si>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</si>
  <si>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</si>
  <si>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</si>
  <si>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</si>
  <si>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</si>
  <si>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</si>
  <si>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</si>
  <si>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</si>
  <si>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</si>
  <si>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</si>
  <si>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</si>
  <si>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</si>
  <si>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</si>
  <si>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</si>
  <si>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</si>
  <si>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</si>
  <si>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</si>
  <si>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</si>
  <si>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</si>
  <si>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</si>
  <si>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</si>
  <si>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</si>
  <si>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</si>
  <si>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</si>
  <si>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</si>
  <si>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</si>
  <si>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</si>
  <si>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</si>
  <si>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</si>
  <si>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</si>
  <si>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</si>
  <si>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</si>
  <si>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</si>
  <si>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</si>
  <si>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</si>
  <si>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</si>
  <si>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</si>
  <si>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</si>
  <si>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</si>
  <si>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</si>
  <si>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</si>
  <si>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</si>
  <si>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</si>
  <si>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</si>
  <si>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</si>
  <si>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</si>
  <si>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</si>
  <si>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</si>
  <si>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</si>
  <si>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</si>
  <si>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</si>
  <si>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</si>
  <si>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</si>
  <si>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</si>
  <si>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</si>
  <si>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</si>
  <si>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</si>
  <si>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</si>
  <si>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</si>
  <si>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</si>
  <si>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</si>
  <si>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</si>
  <si>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</si>
  <si>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</si>
  <si>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</si>
  <si>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</si>
  <si>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</si>
  <si>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</si>
  <si>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</si>
  <si>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</si>
  <si>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</si>
  <si>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</si>
  <si>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</si>
  <si>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</si>
  <si>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</si>
  <si>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</si>
  <si>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</si>
  <si>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</si>
  <si>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</si>
  <si>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</si>
  <si>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</si>
  <si>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</si>
  <si>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</si>
  <si>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</si>
  <si>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BINDER NOTE JOYKO A5 (CAMPUS/CLASSIC)</t>
  </si>
  <si>
    <t>KO</t>
  </si>
  <si>
    <t>1182</t>
  </si>
  <si>
    <t>LSN</t>
  </si>
  <si>
    <t>STAKENHD10</t>
  </si>
  <si>
    <t>STAPLER KENKO HD-10</t>
  </si>
  <si>
    <t>NOVI / CONDRO</t>
  </si>
  <si>
    <t>1097</t>
  </si>
  <si>
    <t>PCS</t>
  </si>
  <si>
    <t>OPJK72W</t>
  </si>
  <si>
    <t>GRS</t>
  </si>
  <si>
    <t>PLAKBAND KAIN HITAM KENKO 48 MM (2") BLUE CORE</t>
  </si>
  <si>
    <t>CRAYON / OIL PASTEL JOYKO OP-72S PP CASE SEA WORLD</t>
  </si>
  <si>
    <t>G</t>
  </si>
  <si>
    <t>1012</t>
  </si>
  <si>
    <t>ISIKENBESAR</t>
  </si>
  <si>
    <t>ISI CUTTER 18 MM KENKO L-150 (BESAR)</t>
  </si>
  <si>
    <t>CRAYON / OIL PASTEL JOYKO OP-72S PP CASE SEA WORLDPCS96000</t>
  </si>
  <si>
    <t>ISI CUTTER 18 MM KENKO L-150 (BESAR)LSN64800</t>
  </si>
  <si>
    <t>PLAKBAND KAIN HITAM KENKO 48 MM (2") BLUE COREPCS12200</t>
  </si>
  <si>
    <t>STAPLER KENKO HD-10LSN93000</t>
  </si>
  <si>
    <t>1192</t>
  </si>
  <si>
    <t>CLIJK105</t>
  </si>
  <si>
    <t>PWKEN12WPANJANG</t>
  </si>
  <si>
    <t>PENSIL WARNA KENKO CP-12F CLASSIC (PANJANG)</t>
  </si>
  <si>
    <t>BINDER CLIP JOYKO 105</t>
  </si>
  <si>
    <t>BINDER CLIP JOYKO 105GRS27600</t>
  </si>
  <si>
    <t>PENSIL WARNA KENKO CP-12F CLASSIC (PANJANG)LSN124200</t>
  </si>
  <si>
    <t>2906</t>
  </si>
  <si>
    <t>BOX</t>
  </si>
  <si>
    <t>LEMKEN8GR</t>
  </si>
  <si>
    <t>LEMKEN15GR</t>
  </si>
  <si>
    <t>LEM STICK KENKO 8 GR (KECIL) isi 30 pc</t>
  </si>
  <si>
    <t>LEM STICK KENKO 15 GR (TANGGUNG) isi 20 pc</t>
  </si>
  <si>
    <t>LEM STICK KENKO 15 GR (TANGGUNG) isi 20 pcBOX72000</t>
  </si>
  <si>
    <t>LEM STICK KENKO 8 GR (KECIL) isi 30 pcBOX66000</t>
  </si>
  <si>
    <t>2907</t>
  </si>
  <si>
    <t>PENKENKE303HITAM</t>
  </si>
  <si>
    <t>GEL PEN KENKO KE-303 T-GEL TRIANGULAR HITAM</t>
  </si>
  <si>
    <t>GEL PEN KENKO KE-303 T-GEL TRIANGULAR HITAMLSN21600</t>
  </si>
  <si>
    <t>ko</t>
  </si>
  <si>
    <t>2909</t>
  </si>
  <si>
    <t>bendan</t>
  </si>
  <si>
    <t>ISIGWNO10</t>
  </si>
  <si>
    <t>PAK</t>
  </si>
  <si>
    <t>ISI STAPLER (STAPLES) GREATWALL GW-NO. 10 (KECIL)</t>
  </si>
  <si>
    <t>ISI STAPLER (STAPLES) GREATWALL GW-NO. 10 (KECIL)PAK13250</t>
  </si>
  <si>
    <t>1009</t>
  </si>
  <si>
    <t>SET</t>
  </si>
  <si>
    <t>PWJK12WPANJANG</t>
  </si>
  <si>
    <t>PENSIL WARNA JOYKO CP-12PB (PANJANG)</t>
  </si>
  <si>
    <t>PENSIL WARNA JOYKO CP-12PB (PANJANG)SET10600</t>
  </si>
  <si>
    <t>0734</t>
  </si>
  <si>
    <t>TIPJKCT533</t>
  </si>
  <si>
    <t>CORRECTION TAPE JOYKO CT-533</t>
  </si>
  <si>
    <t>PUNJK30XL</t>
  </si>
  <si>
    <t>PUNCH JOYKO 30XL</t>
  </si>
  <si>
    <t>CORRECTION TAPE JOYKO CT-533LSN102000</t>
  </si>
  <si>
    <t>PUNCH JOYKO 30XLLSN155400</t>
  </si>
  <si>
    <t>CLIjk260</t>
  </si>
  <si>
    <t>BINDER CLIP JOYKO 260</t>
  </si>
  <si>
    <t>1224</t>
  </si>
  <si>
    <t>PENKENEASYGEL</t>
  </si>
  <si>
    <t>GEL PEN KENKO EASY GEL</t>
  </si>
  <si>
    <t>BINDER CLIP JOYKO 260GRS177000</t>
  </si>
  <si>
    <t>GEL PEN KENKO EASY GELLSN26100</t>
  </si>
  <si>
    <t>2966</t>
  </si>
  <si>
    <t>penkenhitech028funcolorbiru</t>
  </si>
  <si>
    <t>GEL PEN KENKO HI-TECH-H 0.28 MM FUN COLOR BIRU</t>
  </si>
  <si>
    <t>GEL PEN KENKO HI-TECH-H 0.28 MM FUN COLOR BIRULSN39000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</si>
</sst>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3-Hitung%20FP%20Keluar%20Maret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44988</v>
          </cell>
        </row>
        <row r="6">
          <cell r="D6" t="str">
            <v>KO 1182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5</v>
          </cell>
          <cell r="K10">
            <v>8044500</v>
          </cell>
        </row>
        <row r="11">
          <cell r="K11">
            <v>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8044500</v>
          </cell>
        </row>
        <row r="40">
          <cell r="D40" t="str">
            <v>AM</v>
          </cell>
        </row>
        <row r="42">
          <cell r="D42">
            <v>44988</v>
          </cell>
        </row>
        <row r="44">
          <cell r="D44" t="str">
            <v>KO 1182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5</v>
          </cell>
          <cell r="K48">
            <v>8044500</v>
          </cell>
        </row>
        <row r="49">
          <cell r="D49">
            <v>0</v>
          </cell>
          <cell r="K49">
            <v>0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8044500</v>
          </cell>
        </row>
        <row r="78">
          <cell r="D78" t="str">
            <v>AM</v>
          </cell>
        </row>
        <row r="80">
          <cell r="D80">
            <v>44988</v>
          </cell>
        </row>
        <row r="82">
          <cell r="D82" t="str">
            <v>KO 1182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5</v>
          </cell>
          <cell r="K86">
            <v>8044500</v>
          </cell>
        </row>
        <row r="87">
          <cell r="D87">
            <v>0</v>
          </cell>
          <cell r="K87">
            <v>0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8044500</v>
          </cell>
        </row>
        <row r="116">
          <cell r="D116" t="str">
            <v>AM</v>
          </cell>
        </row>
        <row r="118">
          <cell r="D118">
            <v>44988</v>
          </cell>
        </row>
        <row r="120">
          <cell r="D120" t="str">
            <v>KO 1097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1</v>
          </cell>
          <cell r="K124">
            <v>2004480</v>
          </cell>
        </row>
        <row r="125">
          <cell r="D125">
            <v>1</v>
          </cell>
          <cell r="K125">
            <v>769950</v>
          </cell>
        </row>
        <row r="126">
          <cell r="D126">
            <v>1</v>
          </cell>
          <cell r="K126">
            <v>1273680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4048110</v>
          </cell>
        </row>
        <row r="154">
          <cell r="D154" t="str">
            <v>AM</v>
          </cell>
        </row>
        <row r="156">
          <cell r="D156">
            <v>44988</v>
          </cell>
        </row>
        <row r="158">
          <cell r="D158" t="str">
            <v>KO 1097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1</v>
          </cell>
          <cell r="K162">
            <v>2004480</v>
          </cell>
        </row>
        <row r="163">
          <cell r="D163">
            <v>1</v>
          </cell>
          <cell r="K163">
            <v>769950</v>
          </cell>
        </row>
        <row r="164">
          <cell r="D164">
            <v>1</v>
          </cell>
          <cell r="K164">
            <v>1273680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4048110</v>
          </cell>
        </row>
        <row r="192">
          <cell r="D192" t="str">
            <v>AM</v>
          </cell>
        </row>
        <row r="194">
          <cell r="D194">
            <v>44988</v>
          </cell>
        </row>
        <row r="196">
          <cell r="D196" t="str">
            <v>KO 1097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1</v>
          </cell>
          <cell r="K200">
            <v>2004480</v>
          </cell>
        </row>
        <row r="201">
          <cell r="D201">
            <v>1</v>
          </cell>
          <cell r="K201">
            <v>769950</v>
          </cell>
        </row>
        <row r="202">
          <cell r="D202">
            <v>1</v>
          </cell>
          <cell r="K202">
            <v>1273680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4048110</v>
          </cell>
        </row>
        <row r="230">
          <cell r="D230" t="str">
            <v>AM</v>
          </cell>
        </row>
        <row r="232">
          <cell r="D232">
            <v>44988</v>
          </cell>
        </row>
        <row r="234">
          <cell r="D234" t="str">
            <v>G 1012</v>
          </cell>
        </row>
        <row r="236">
          <cell r="D236" t="str">
            <v>C</v>
          </cell>
          <cell r="K236" t="str">
            <v>Amount</v>
          </cell>
        </row>
        <row r="238">
          <cell r="D238">
            <v>3</v>
          </cell>
          <cell r="K238">
            <v>10206000</v>
          </cell>
        </row>
        <row r="239">
          <cell r="K239">
            <v>0</v>
          </cell>
        </row>
        <row r="240">
          <cell r="K240">
            <v>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10206000</v>
          </cell>
        </row>
        <row r="268">
          <cell r="D268" t="str">
            <v>AM</v>
          </cell>
        </row>
        <row r="270">
          <cell r="D270">
            <v>44988</v>
          </cell>
        </row>
        <row r="272">
          <cell r="D272" t="str">
            <v>G 1012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3</v>
          </cell>
          <cell r="K276">
            <v>10206000</v>
          </cell>
        </row>
        <row r="277">
          <cell r="D277">
            <v>0</v>
          </cell>
          <cell r="K277">
            <v>0</v>
          </cell>
        </row>
        <row r="278">
          <cell r="D278">
            <v>0</v>
          </cell>
          <cell r="K278">
            <v>0</v>
          </cell>
        </row>
        <row r="279">
          <cell r="D279">
            <v>0</v>
          </cell>
          <cell r="K279">
            <v>0</v>
          </cell>
        </row>
        <row r="280">
          <cell r="D280">
            <v>0</v>
          </cell>
          <cell r="K280">
            <v>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10206000</v>
          </cell>
        </row>
        <row r="306">
          <cell r="D306" t="str">
            <v>AM</v>
          </cell>
        </row>
        <row r="308">
          <cell r="D308">
            <v>44988</v>
          </cell>
        </row>
        <row r="310">
          <cell r="D310" t="str">
            <v>G 1012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3</v>
          </cell>
          <cell r="K314">
            <v>10206000</v>
          </cell>
        </row>
        <row r="315">
          <cell r="D315">
            <v>0</v>
          </cell>
          <cell r="K315">
            <v>0</v>
          </cell>
        </row>
        <row r="316">
          <cell r="D316">
            <v>0</v>
          </cell>
          <cell r="K316">
            <v>0</v>
          </cell>
        </row>
        <row r="317">
          <cell r="D317">
            <v>0</v>
          </cell>
          <cell r="K317">
            <v>0</v>
          </cell>
        </row>
        <row r="318">
          <cell r="D318">
            <v>0</v>
          </cell>
          <cell r="K318">
            <v>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10206000</v>
          </cell>
        </row>
        <row r="344">
          <cell r="D344" t="str">
            <v>AM</v>
          </cell>
        </row>
        <row r="346">
          <cell r="D346">
            <v>44991</v>
          </cell>
        </row>
        <row r="348">
          <cell r="D348" t="str">
            <v>KO 1192</v>
          </cell>
        </row>
        <row r="350">
          <cell r="D350" t="str">
            <v>C</v>
          </cell>
          <cell r="K350" t="str">
            <v>Amount</v>
          </cell>
        </row>
        <row r="352">
          <cell r="D352" t="str">
            <v/>
          </cell>
          <cell r="K352">
            <v>496800</v>
          </cell>
        </row>
        <row r="353">
          <cell r="D353" t="str">
            <v/>
          </cell>
          <cell r="K353">
            <v>335340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832140</v>
          </cell>
        </row>
        <row r="382">
          <cell r="D382" t="str">
            <v>AM</v>
          </cell>
        </row>
        <row r="384">
          <cell r="D384">
            <v>44991</v>
          </cell>
        </row>
        <row r="386">
          <cell r="D386" t="str">
            <v>KO 1192</v>
          </cell>
        </row>
        <row r="388">
          <cell r="D388" t="str">
            <v>C</v>
          </cell>
          <cell r="K388" t="str">
            <v>Amount</v>
          </cell>
        </row>
        <row r="390">
          <cell r="D390" t="str">
            <v/>
          </cell>
          <cell r="K390">
            <v>496800</v>
          </cell>
        </row>
        <row r="391">
          <cell r="D391" t="str">
            <v/>
          </cell>
          <cell r="K391">
            <v>335340</v>
          </cell>
        </row>
        <row r="392">
          <cell r="D392">
            <v>0</v>
          </cell>
          <cell r="K392">
            <v>0</v>
          </cell>
        </row>
        <row r="393">
          <cell r="D393">
            <v>0</v>
          </cell>
          <cell r="K393">
            <v>0</v>
          </cell>
        </row>
        <row r="394">
          <cell r="D394">
            <v>0</v>
          </cell>
          <cell r="K394">
            <v>0</v>
          </cell>
        </row>
        <row r="395">
          <cell r="D395">
            <v>0</v>
          </cell>
          <cell r="K395">
            <v>0</v>
          </cell>
        </row>
        <row r="396">
          <cell r="D396">
            <v>0</v>
          </cell>
          <cell r="K396">
            <v>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832140</v>
          </cell>
        </row>
        <row r="420">
          <cell r="D420" t="str">
            <v>AM</v>
          </cell>
        </row>
        <row r="422">
          <cell r="D422">
            <v>44991</v>
          </cell>
        </row>
        <row r="424">
          <cell r="D424" t="str">
            <v>KO 1192</v>
          </cell>
        </row>
        <row r="426">
          <cell r="D426" t="str">
            <v>C</v>
          </cell>
          <cell r="K426" t="str">
            <v>Amount</v>
          </cell>
        </row>
        <row r="428">
          <cell r="D428" t="str">
            <v/>
          </cell>
          <cell r="K428">
            <v>496800</v>
          </cell>
        </row>
        <row r="429">
          <cell r="D429" t="str">
            <v/>
          </cell>
          <cell r="K429">
            <v>335340</v>
          </cell>
        </row>
        <row r="430">
          <cell r="D430">
            <v>0</v>
          </cell>
          <cell r="K430">
            <v>0</v>
          </cell>
        </row>
        <row r="431">
          <cell r="D431">
            <v>0</v>
          </cell>
          <cell r="K431">
            <v>0</v>
          </cell>
        </row>
        <row r="432">
          <cell r="D432">
            <v>0</v>
          </cell>
          <cell r="K432">
            <v>0</v>
          </cell>
        </row>
        <row r="433">
          <cell r="D433">
            <v>0</v>
          </cell>
          <cell r="K433">
            <v>0</v>
          </cell>
        </row>
        <row r="434">
          <cell r="D434">
            <v>0</v>
          </cell>
          <cell r="K434">
            <v>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832140</v>
          </cell>
        </row>
        <row r="458">
          <cell r="D458" t="str">
            <v>AM</v>
          </cell>
        </row>
        <row r="460">
          <cell r="D460">
            <v>44991</v>
          </cell>
        </row>
        <row r="462">
          <cell r="D462" t="str">
            <v>KO 2906</v>
          </cell>
        </row>
        <row r="464">
          <cell r="D464" t="str">
            <v>C</v>
          </cell>
          <cell r="K464" t="str">
            <v>Amount</v>
          </cell>
        </row>
        <row r="466">
          <cell r="D466">
            <v>1</v>
          </cell>
          <cell r="K466">
            <v>2067120</v>
          </cell>
        </row>
        <row r="467">
          <cell r="D467">
            <v>1</v>
          </cell>
          <cell r="K467">
            <v>2255040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4322160</v>
          </cell>
        </row>
        <row r="496">
          <cell r="D496" t="str">
            <v>AM</v>
          </cell>
        </row>
        <row r="498">
          <cell r="D498">
            <v>44991</v>
          </cell>
        </row>
        <row r="500">
          <cell r="D500" t="str">
            <v>KO 2906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1</v>
          </cell>
          <cell r="K504">
            <v>2067120</v>
          </cell>
        </row>
        <row r="505">
          <cell r="D505">
            <v>1</v>
          </cell>
          <cell r="K505">
            <v>2255040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4322160</v>
          </cell>
        </row>
        <row r="534">
          <cell r="D534" t="str">
            <v>AM</v>
          </cell>
        </row>
        <row r="536">
          <cell r="D536">
            <v>44991</v>
          </cell>
        </row>
        <row r="538">
          <cell r="D538" t="str">
            <v>KO 2906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1</v>
          </cell>
          <cell r="K542">
            <v>2067120</v>
          </cell>
        </row>
        <row r="543">
          <cell r="D543">
            <v>1</v>
          </cell>
          <cell r="K543">
            <v>2255040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4322160</v>
          </cell>
        </row>
        <row r="572">
          <cell r="D572" t="str">
            <v>AM</v>
          </cell>
        </row>
        <row r="574">
          <cell r="D574">
            <v>44991</v>
          </cell>
        </row>
        <row r="576">
          <cell r="D576" t="str">
            <v>KO 2907</v>
          </cell>
        </row>
        <row r="578">
          <cell r="D578" t="str">
            <v>C</v>
          </cell>
          <cell r="K578" t="str">
            <v>Amount</v>
          </cell>
        </row>
        <row r="580">
          <cell r="D580">
            <v>1</v>
          </cell>
          <cell r="K580">
            <v>2055240</v>
          </cell>
        </row>
        <row r="581">
          <cell r="D581">
            <v>3</v>
          </cell>
          <cell r="K581">
            <v>8071488</v>
          </cell>
        </row>
        <row r="582">
          <cell r="K582">
            <v>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10126728</v>
          </cell>
        </row>
        <row r="610">
          <cell r="D610" t="str">
            <v>AM</v>
          </cell>
        </row>
        <row r="612">
          <cell r="D612">
            <v>44991</v>
          </cell>
        </row>
        <row r="614">
          <cell r="D614" t="str">
            <v>KO 2907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1</v>
          </cell>
          <cell r="K618">
            <v>2055240</v>
          </cell>
        </row>
        <row r="619">
          <cell r="D619">
            <v>3</v>
          </cell>
          <cell r="K619">
            <v>8071488</v>
          </cell>
        </row>
        <row r="620">
          <cell r="D620">
            <v>0</v>
          </cell>
          <cell r="K620">
            <v>0</v>
          </cell>
        </row>
        <row r="621">
          <cell r="D621">
            <v>0</v>
          </cell>
          <cell r="K621">
            <v>0</v>
          </cell>
        </row>
        <row r="622">
          <cell r="D622">
            <v>0</v>
          </cell>
          <cell r="K622">
            <v>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10126728</v>
          </cell>
        </row>
        <row r="648">
          <cell r="D648" t="str">
            <v>AM</v>
          </cell>
        </row>
        <row r="650">
          <cell r="D650">
            <v>44991</v>
          </cell>
        </row>
        <row r="652">
          <cell r="D652" t="str">
            <v>KO 2907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1</v>
          </cell>
          <cell r="K656">
            <v>2055240</v>
          </cell>
        </row>
        <row r="657">
          <cell r="D657">
            <v>3</v>
          </cell>
          <cell r="K657">
            <v>8071488</v>
          </cell>
        </row>
        <row r="658">
          <cell r="D658">
            <v>0</v>
          </cell>
          <cell r="K658">
            <v>0</v>
          </cell>
        </row>
        <row r="659">
          <cell r="D659">
            <v>0</v>
          </cell>
          <cell r="K659">
            <v>0</v>
          </cell>
        </row>
        <row r="660">
          <cell r="D660">
            <v>0</v>
          </cell>
          <cell r="K660">
            <v>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10126728</v>
          </cell>
        </row>
        <row r="686">
          <cell r="D686" t="str">
            <v>AM</v>
          </cell>
        </row>
        <row r="688">
          <cell r="D688">
            <v>44992</v>
          </cell>
        </row>
        <row r="690">
          <cell r="D690" t="str">
            <v>KO 2909</v>
          </cell>
        </row>
        <row r="692">
          <cell r="D692" t="str">
            <v>C</v>
          </cell>
          <cell r="K692" t="str">
            <v>Amount</v>
          </cell>
        </row>
        <row r="694">
          <cell r="D694">
            <v>6</v>
          </cell>
          <cell r="K694">
            <v>7950000</v>
          </cell>
        </row>
        <row r="695">
          <cell r="K695">
            <v>0</v>
          </cell>
        </row>
        <row r="696">
          <cell r="K696">
            <v>0</v>
          </cell>
        </row>
        <row r="697">
          <cell r="K697">
            <v>0</v>
          </cell>
        </row>
        <row r="698">
          <cell r="K698">
            <v>0</v>
          </cell>
        </row>
        <row r="699">
          <cell r="K699">
            <v>0</v>
          </cell>
        </row>
        <row r="700">
          <cell r="K700">
            <v>0</v>
          </cell>
        </row>
        <row r="701">
          <cell r="K701">
            <v>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7950000</v>
          </cell>
        </row>
        <row r="724">
          <cell r="D724" t="str">
            <v>AM</v>
          </cell>
        </row>
        <row r="726">
          <cell r="D726">
            <v>44992</v>
          </cell>
        </row>
        <row r="728">
          <cell r="D728" t="str">
            <v>KO 2909</v>
          </cell>
        </row>
        <row r="730">
          <cell r="D730" t="str">
            <v>C</v>
          </cell>
          <cell r="K730" t="str">
            <v>Amount</v>
          </cell>
        </row>
        <row r="732">
          <cell r="D732">
            <v>6</v>
          </cell>
          <cell r="K732">
            <v>7950000</v>
          </cell>
        </row>
        <row r="733">
          <cell r="D733">
            <v>0</v>
          </cell>
          <cell r="K733">
            <v>0</v>
          </cell>
        </row>
        <row r="734">
          <cell r="D734">
            <v>0</v>
          </cell>
          <cell r="K734">
            <v>0</v>
          </cell>
        </row>
        <row r="735">
          <cell r="D735">
            <v>0</v>
          </cell>
          <cell r="K735">
            <v>0</v>
          </cell>
        </row>
        <row r="736">
          <cell r="D736">
            <v>0</v>
          </cell>
          <cell r="K736">
            <v>0</v>
          </cell>
        </row>
        <row r="737">
          <cell r="D737">
            <v>0</v>
          </cell>
          <cell r="K737">
            <v>0</v>
          </cell>
        </row>
        <row r="738">
          <cell r="D738">
            <v>0</v>
          </cell>
          <cell r="K738">
            <v>0</v>
          </cell>
        </row>
        <row r="739">
          <cell r="D739">
            <v>0</v>
          </cell>
          <cell r="K739">
            <v>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7950000</v>
          </cell>
        </row>
        <row r="762">
          <cell r="D762" t="str">
            <v>AM</v>
          </cell>
        </row>
        <row r="764">
          <cell r="D764">
            <v>44992</v>
          </cell>
        </row>
        <row r="766">
          <cell r="D766" t="str">
            <v>KO 2909</v>
          </cell>
        </row>
        <row r="768">
          <cell r="D768" t="str">
            <v>C</v>
          </cell>
          <cell r="K768" t="str">
            <v>Amount</v>
          </cell>
        </row>
        <row r="770">
          <cell r="D770">
            <v>6</v>
          </cell>
          <cell r="K770">
            <v>7950000</v>
          </cell>
        </row>
        <row r="771">
          <cell r="D771">
            <v>0</v>
          </cell>
          <cell r="K771">
            <v>0</v>
          </cell>
        </row>
        <row r="772">
          <cell r="D772">
            <v>0</v>
          </cell>
          <cell r="K772">
            <v>0</v>
          </cell>
        </row>
        <row r="773">
          <cell r="D773">
            <v>0</v>
          </cell>
          <cell r="K773">
            <v>0</v>
          </cell>
        </row>
        <row r="774">
          <cell r="D774">
            <v>0</v>
          </cell>
          <cell r="K774">
            <v>0</v>
          </cell>
        </row>
        <row r="775">
          <cell r="D775">
            <v>0</v>
          </cell>
          <cell r="K775">
            <v>0</v>
          </cell>
        </row>
        <row r="776">
          <cell r="D776">
            <v>0</v>
          </cell>
          <cell r="K776">
            <v>0</v>
          </cell>
        </row>
        <row r="777">
          <cell r="D777">
            <v>0</v>
          </cell>
          <cell r="K777">
            <v>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7950000</v>
          </cell>
        </row>
        <row r="800">
          <cell r="D800" t="str">
            <v>AM</v>
          </cell>
        </row>
        <row r="802">
          <cell r="D802">
            <v>44993</v>
          </cell>
        </row>
        <row r="804">
          <cell r="D804" t="str">
            <v>KO 1009</v>
          </cell>
        </row>
        <row r="806">
          <cell r="D806" t="str">
            <v>C</v>
          </cell>
          <cell r="K806" t="str">
            <v>Amount</v>
          </cell>
        </row>
        <row r="808">
          <cell r="D808">
            <v>2</v>
          </cell>
          <cell r="K808">
            <v>2671200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2671200</v>
          </cell>
        </row>
        <row r="838">
          <cell r="D838" t="str">
            <v>AM</v>
          </cell>
        </row>
        <row r="840">
          <cell r="D840">
            <v>44993</v>
          </cell>
        </row>
        <row r="842">
          <cell r="D842" t="str">
            <v>KO 1009</v>
          </cell>
        </row>
        <row r="844">
          <cell r="D844" t="str">
            <v>C</v>
          </cell>
          <cell r="K844" t="str">
            <v>Amount</v>
          </cell>
        </row>
        <row r="846">
          <cell r="D846">
            <v>2</v>
          </cell>
          <cell r="K846">
            <v>2671200</v>
          </cell>
        </row>
        <row r="847">
          <cell r="D847">
            <v>0</v>
          </cell>
          <cell r="K847">
            <v>0</v>
          </cell>
        </row>
        <row r="848">
          <cell r="D848">
            <v>0</v>
          </cell>
          <cell r="K848">
            <v>0</v>
          </cell>
        </row>
        <row r="849">
          <cell r="D849">
            <v>0</v>
          </cell>
          <cell r="K849">
            <v>0</v>
          </cell>
        </row>
        <row r="850">
          <cell r="D850">
            <v>0</v>
          </cell>
          <cell r="K850">
            <v>0</v>
          </cell>
        </row>
        <row r="851">
          <cell r="D851">
            <v>0</v>
          </cell>
          <cell r="K851">
            <v>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2671200</v>
          </cell>
        </row>
        <row r="876">
          <cell r="D876" t="str">
            <v>AM</v>
          </cell>
        </row>
        <row r="878">
          <cell r="D878">
            <v>44993</v>
          </cell>
        </row>
        <row r="880">
          <cell r="D880" t="str">
            <v>KO 1009</v>
          </cell>
        </row>
        <row r="882">
          <cell r="D882" t="str">
            <v>C</v>
          </cell>
          <cell r="K882" t="str">
            <v>Amount</v>
          </cell>
        </row>
        <row r="884">
          <cell r="D884">
            <v>2</v>
          </cell>
          <cell r="K884">
            <v>2671200</v>
          </cell>
        </row>
        <row r="885">
          <cell r="D885">
            <v>0</v>
          </cell>
          <cell r="K885">
            <v>0</v>
          </cell>
        </row>
        <row r="886">
          <cell r="D886">
            <v>0</v>
          </cell>
          <cell r="K886">
            <v>0</v>
          </cell>
        </row>
        <row r="887">
          <cell r="D887">
            <v>0</v>
          </cell>
          <cell r="K887">
            <v>0</v>
          </cell>
        </row>
        <row r="888">
          <cell r="D888">
            <v>0</v>
          </cell>
          <cell r="K888">
            <v>0</v>
          </cell>
        </row>
        <row r="889">
          <cell r="D889">
            <v>0</v>
          </cell>
          <cell r="K889">
            <v>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2671200</v>
          </cell>
        </row>
        <row r="914">
          <cell r="D914" t="str">
            <v>AM</v>
          </cell>
        </row>
        <row r="916">
          <cell r="D916">
            <v>44994</v>
          </cell>
        </row>
        <row r="918">
          <cell r="D918" t="str">
            <v>KO 0734</v>
          </cell>
        </row>
        <row r="920">
          <cell r="D920" t="str">
            <v>C</v>
          </cell>
          <cell r="K920" t="str">
            <v>Amount</v>
          </cell>
        </row>
        <row r="922">
          <cell r="D922">
            <v>2</v>
          </cell>
          <cell r="K922">
            <v>7140000</v>
          </cell>
        </row>
        <row r="923">
          <cell r="D923">
            <v>1</v>
          </cell>
          <cell r="K923">
            <v>1359750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8499750</v>
          </cell>
        </row>
        <row r="952">
          <cell r="D952" t="str">
            <v>AM</v>
          </cell>
        </row>
        <row r="954">
          <cell r="D954">
            <v>44994</v>
          </cell>
        </row>
        <row r="956">
          <cell r="D956" t="str">
            <v>KO 0734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2</v>
          </cell>
          <cell r="K960">
            <v>7140000</v>
          </cell>
        </row>
        <row r="961">
          <cell r="D961">
            <v>1</v>
          </cell>
          <cell r="K961">
            <v>1359750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8499750</v>
          </cell>
        </row>
        <row r="990">
          <cell r="D990" t="str">
            <v>AM</v>
          </cell>
        </row>
        <row r="992">
          <cell r="D992">
            <v>44994</v>
          </cell>
        </row>
        <row r="994">
          <cell r="D994" t="str">
            <v>KO 0734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2</v>
          </cell>
          <cell r="K998">
            <v>7140000</v>
          </cell>
        </row>
        <row r="999">
          <cell r="D999">
            <v>1</v>
          </cell>
          <cell r="K999">
            <v>1359750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8499750</v>
          </cell>
        </row>
        <row r="1028">
          <cell r="D1028" t="str">
            <v>AM</v>
          </cell>
        </row>
        <row r="1030">
          <cell r="D1030">
            <v>44995</v>
          </cell>
        </row>
        <row r="1032">
          <cell r="D1032" t="str">
            <v>KO 1224</v>
          </cell>
        </row>
        <row r="1034">
          <cell r="D1034" t="str">
            <v>C</v>
          </cell>
          <cell r="K1034" t="str">
            <v>Amount</v>
          </cell>
        </row>
        <row r="1036">
          <cell r="D1036" t="str">
            <v/>
          </cell>
          <cell r="K1036">
            <v>1089936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1089936</v>
          </cell>
        </row>
        <row r="1066">
          <cell r="D1066" t="str">
            <v>AM</v>
          </cell>
        </row>
        <row r="1068">
          <cell r="D1068">
            <v>44995</v>
          </cell>
        </row>
        <row r="1070">
          <cell r="D1070" t="str">
            <v>KO 1224</v>
          </cell>
        </row>
        <row r="1072">
          <cell r="D1072" t="str">
            <v>C</v>
          </cell>
          <cell r="K1072" t="str">
            <v>Amount</v>
          </cell>
        </row>
        <row r="1074">
          <cell r="D1074" t="str">
            <v/>
          </cell>
          <cell r="K1074">
            <v>1089936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1089936</v>
          </cell>
        </row>
        <row r="1104">
          <cell r="D1104" t="str">
            <v>AM</v>
          </cell>
        </row>
        <row r="1106">
          <cell r="D1106">
            <v>44995</v>
          </cell>
        </row>
        <row r="1108">
          <cell r="D1108" t="str">
            <v>KO 1224</v>
          </cell>
        </row>
        <row r="1110">
          <cell r="D1110" t="str">
            <v>C</v>
          </cell>
          <cell r="K1110" t="str">
            <v>Amount</v>
          </cell>
        </row>
        <row r="1112">
          <cell r="D1112" t="str">
            <v/>
          </cell>
          <cell r="K1112">
            <v>1089936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1089936</v>
          </cell>
        </row>
        <row r="1142">
          <cell r="D1142" t="str">
            <v>AM</v>
          </cell>
        </row>
        <row r="1144">
          <cell r="D1144">
            <v>44996</v>
          </cell>
        </row>
        <row r="1146">
          <cell r="D1146" t="str">
            <v>G 2966</v>
          </cell>
        </row>
        <row r="1148">
          <cell r="D1148" t="str">
            <v>C</v>
          </cell>
          <cell r="K1148" t="str">
            <v>Amount</v>
          </cell>
        </row>
        <row r="1150">
          <cell r="D1150" t="str">
            <v/>
          </cell>
          <cell r="K1150">
            <v>1194375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1194375</v>
          </cell>
        </row>
        <row r="1180">
          <cell r="D1180" t="str">
            <v>AM</v>
          </cell>
        </row>
        <row r="1182">
          <cell r="D1182">
            <v>44996</v>
          </cell>
        </row>
        <row r="1184">
          <cell r="D1184" t="str">
            <v>G 2966</v>
          </cell>
        </row>
        <row r="1186">
          <cell r="D1186" t="str">
            <v>C</v>
          </cell>
          <cell r="K1186" t="str">
            <v>Amount</v>
          </cell>
        </row>
        <row r="1188">
          <cell r="D1188" t="str">
            <v/>
          </cell>
          <cell r="K1188">
            <v>1194375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1194375</v>
          </cell>
        </row>
        <row r="1218">
          <cell r="D1218" t="str">
            <v>AM</v>
          </cell>
        </row>
        <row r="1220">
          <cell r="D1220">
            <v>44996</v>
          </cell>
        </row>
        <row r="1222">
          <cell r="D1222" t="str">
            <v>G 2966</v>
          </cell>
        </row>
        <row r="1224">
          <cell r="D1224" t="str">
            <v>C</v>
          </cell>
          <cell r="K1224" t="str">
            <v>Amount</v>
          </cell>
        </row>
        <row r="1226">
          <cell r="D1226" t="str">
            <v/>
          </cell>
          <cell r="K1226">
            <v>1194375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1194375</v>
          </cell>
        </row>
        <row r="1256">
          <cell r="D1256" t="str">
            <v>AM</v>
          </cell>
        </row>
        <row r="1262">
          <cell r="D1262" t="str">
            <v>C</v>
          </cell>
          <cell r="K1262" t="str">
            <v>Amount</v>
          </cell>
        </row>
        <row r="1264">
          <cell r="K1264">
            <v>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0</v>
          </cell>
        </row>
        <row r="1294">
          <cell r="D1294" t="str">
            <v>AM</v>
          </cell>
        </row>
        <row r="1296">
          <cell r="D1296">
            <v>0</v>
          </cell>
        </row>
        <row r="1298">
          <cell r="D1298">
            <v>0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0</v>
          </cell>
          <cell r="K1302">
            <v>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0</v>
          </cell>
        </row>
        <row r="1332">
          <cell r="D1332" t="str">
            <v>AM</v>
          </cell>
        </row>
        <row r="1334">
          <cell r="D1334">
            <v>0</v>
          </cell>
        </row>
        <row r="1336">
          <cell r="D1336">
            <v>0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0</v>
          </cell>
          <cell r="K1340">
            <v>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0</v>
          </cell>
        </row>
        <row r="1370">
          <cell r="D1370" t="str">
            <v>AM</v>
          </cell>
        </row>
        <row r="1376">
          <cell r="D1376" t="str">
            <v>C</v>
          </cell>
          <cell r="K1376" t="str">
            <v>Amount</v>
          </cell>
        </row>
        <row r="1378">
          <cell r="K1378">
            <v>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0</v>
          </cell>
        </row>
        <row r="1408">
          <cell r="D1408" t="str">
            <v>AM</v>
          </cell>
        </row>
        <row r="1410">
          <cell r="D1410">
            <v>0</v>
          </cell>
        </row>
        <row r="1412">
          <cell r="D1412">
            <v>0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0</v>
          </cell>
          <cell r="K1416">
            <v>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0</v>
          </cell>
        </row>
        <row r="1446">
          <cell r="D1446" t="str">
            <v>AM</v>
          </cell>
        </row>
        <row r="1448">
          <cell r="D1448">
            <v>0</v>
          </cell>
        </row>
        <row r="1450">
          <cell r="D1450">
            <v>0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0</v>
          </cell>
          <cell r="K1454">
            <v>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0</v>
          </cell>
        </row>
        <row r="1484">
          <cell r="D1484" t="str">
            <v>AM</v>
          </cell>
        </row>
        <row r="1490">
          <cell r="D1490" t="str">
            <v>C</v>
          </cell>
          <cell r="K1490" t="str">
            <v>Amount</v>
          </cell>
        </row>
        <row r="1492">
          <cell r="K1492">
            <v>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0</v>
          </cell>
        </row>
        <row r="1522">
          <cell r="D1522" t="str">
            <v>AM</v>
          </cell>
        </row>
        <row r="1524">
          <cell r="D1524">
            <v>0</v>
          </cell>
        </row>
        <row r="1526">
          <cell r="D1526">
            <v>0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0</v>
          </cell>
          <cell r="K1530">
            <v>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0</v>
          </cell>
        </row>
        <row r="1560">
          <cell r="D1560" t="str">
            <v>AM</v>
          </cell>
        </row>
        <row r="1562">
          <cell r="D1562">
            <v>0</v>
          </cell>
        </row>
        <row r="1564">
          <cell r="D1564">
            <v>0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0</v>
          </cell>
          <cell r="K1568">
            <v>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0</v>
          </cell>
        </row>
        <row r="1598">
          <cell r="D1598" t="str">
            <v>AM</v>
          </cell>
        </row>
        <row r="1604">
          <cell r="D1604" t="str">
            <v>C</v>
          </cell>
          <cell r="K1604" t="str">
            <v>Amount</v>
          </cell>
        </row>
        <row r="1606">
          <cell r="K1606">
            <v>0</v>
          </cell>
        </row>
        <row r="1607">
          <cell r="K1607">
            <v>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0</v>
          </cell>
        </row>
        <row r="1636">
          <cell r="D1636" t="str">
            <v>AM</v>
          </cell>
        </row>
        <row r="1638">
          <cell r="D1638">
            <v>0</v>
          </cell>
        </row>
        <row r="1640">
          <cell r="D1640">
            <v>0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0</v>
          </cell>
          <cell r="K1644">
            <v>0</v>
          </cell>
        </row>
        <row r="1645">
          <cell r="D1645">
            <v>0</v>
          </cell>
          <cell r="K1645">
            <v>0</v>
          </cell>
        </row>
        <row r="1646">
          <cell r="D1646">
            <v>0</v>
          </cell>
          <cell r="K1646">
            <v>0</v>
          </cell>
        </row>
        <row r="1647">
          <cell r="D1647">
            <v>0</v>
          </cell>
          <cell r="K1647">
            <v>0</v>
          </cell>
        </row>
        <row r="1648">
          <cell r="D1648">
            <v>0</v>
          </cell>
          <cell r="K1648">
            <v>0</v>
          </cell>
        </row>
        <row r="1649">
          <cell r="D1649">
            <v>0</v>
          </cell>
          <cell r="K1649">
            <v>0</v>
          </cell>
        </row>
        <row r="1650">
          <cell r="D1650">
            <v>0</v>
          </cell>
          <cell r="K1650">
            <v>0</v>
          </cell>
        </row>
        <row r="1651">
          <cell r="D1651">
            <v>0</v>
          </cell>
          <cell r="K1651">
            <v>0</v>
          </cell>
        </row>
        <row r="1652">
          <cell r="D1652">
            <v>0</v>
          </cell>
          <cell r="K1652">
            <v>0</v>
          </cell>
        </row>
        <row r="1653">
          <cell r="D1653">
            <v>0</v>
          </cell>
          <cell r="K1653">
            <v>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0</v>
          </cell>
        </row>
        <row r="1674">
          <cell r="D1674" t="str">
            <v>AM</v>
          </cell>
        </row>
        <row r="1676">
          <cell r="D1676">
            <v>0</v>
          </cell>
        </row>
        <row r="1678">
          <cell r="D1678">
            <v>0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0</v>
          </cell>
          <cell r="K1682">
            <v>0</v>
          </cell>
        </row>
        <row r="1683">
          <cell r="D1683">
            <v>0</v>
          </cell>
          <cell r="K1683">
            <v>0</v>
          </cell>
        </row>
        <row r="1684">
          <cell r="D1684">
            <v>0</v>
          </cell>
          <cell r="K1684">
            <v>0</v>
          </cell>
        </row>
        <row r="1685">
          <cell r="D1685">
            <v>0</v>
          </cell>
          <cell r="K1685">
            <v>0</v>
          </cell>
        </row>
        <row r="1686">
          <cell r="D1686">
            <v>0</v>
          </cell>
          <cell r="K1686">
            <v>0</v>
          </cell>
        </row>
        <row r="1687">
          <cell r="D1687">
            <v>0</v>
          </cell>
          <cell r="K1687">
            <v>0</v>
          </cell>
        </row>
        <row r="1688">
          <cell r="D1688">
            <v>0</v>
          </cell>
          <cell r="K1688">
            <v>0</v>
          </cell>
        </row>
        <row r="1689">
          <cell r="D1689">
            <v>0</v>
          </cell>
          <cell r="K1689">
            <v>0</v>
          </cell>
        </row>
        <row r="1690">
          <cell r="D1690">
            <v>0</v>
          </cell>
          <cell r="K1690">
            <v>0</v>
          </cell>
        </row>
        <row r="1691">
          <cell r="D1691">
            <v>0</v>
          </cell>
          <cell r="K1691">
            <v>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0</v>
          </cell>
        </row>
        <row r="1712">
          <cell r="D1712" t="str">
            <v>AM</v>
          </cell>
        </row>
        <row r="1718">
          <cell r="D1718" t="str">
            <v>C</v>
          </cell>
          <cell r="K1718" t="str">
            <v>Amount</v>
          </cell>
        </row>
        <row r="1720">
          <cell r="K1720">
            <v>0</v>
          </cell>
        </row>
        <row r="1721">
          <cell r="K1721">
            <v>0</v>
          </cell>
        </row>
        <row r="1722">
          <cell r="K1722">
            <v>0</v>
          </cell>
        </row>
        <row r="1723">
          <cell r="K1723">
            <v>0</v>
          </cell>
        </row>
        <row r="1724">
          <cell r="K1724">
            <v>0</v>
          </cell>
        </row>
        <row r="1725">
          <cell r="K1725">
            <v>0</v>
          </cell>
        </row>
        <row r="1726">
          <cell r="K1726">
            <v>0</v>
          </cell>
        </row>
        <row r="1727">
          <cell r="K1727">
            <v>0</v>
          </cell>
        </row>
        <row r="1728">
          <cell r="K1728">
            <v>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0</v>
          </cell>
        </row>
        <row r="1750">
          <cell r="D1750" t="str">
            <v>AM</v>
          </cell>
        </row>
        <row r="1752">
          <cell r="D1752">
            <v>0</v>
          </cell>
        </row>
        <row r="1754">
          <cell r="D1754">
            <v>0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0</v>
          </cell>
          <cell r="K1758">
            <v>0</v>
          </cell>
        </row>
        <row r="1759">
          <cell r="D1759">
            <v>0</v>
          </cell>
          <cell r="K1759">
            <v>0</v>
          </cell>
        </row>
        <row r="1760">
          <cell r="D1760">
            <v>0</v>
          </cell>
          <cell r="K1760">
            <v>0</v>
          </cell>
        </row>
        <row r="1761">
          <cell r="D1761">
            <v>0</v>
          </cell>
          <cell r="K1761">
            <v>0</v>
          </cell>
        </row>
        <row r="1762">
          <cell r="D1762">
            <v>0</v>
          </cell>
          <cell r="K1762">
            <v>0</v>
          </cell>
        </row>
        <row r="1763">
          <cell r="D1763">
            <v>0</v>
          </cell>
          <cell r="K1763">
            <v>0</v>
          </cell>
        </row>
        <row r="1764">
          <cell r="D1764">
            <v>0</v>
          </cell>
          <cell r="K1764">
            <v>0</v>
          </cell>
        </row>
        <row r="1765">
          <cell r="D1765">
            <v>0</v>
          </cell>
          <cell r="K1765">
            <v>0</v>
          </cell>
        </row>
        <row r="1766">
          <cell r="D1766">
            <v>0</v>
          </cell>
          <cell r="K1766">
            <v>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0</v>
          </cell>
        </row>
        <row r="1788">
          <cell r="D1788" t="str">
            <v>AM</v>
          </cell>
        </row>
        <row r="1790">
          <cell r="D1790">
            <v>0</v>
          </cell>
        </row>
        <row r="1792">
          <cell r="D1792">
            <v>0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0</v>
          </cell>
          <cell r="K1796">
            <v>0</v>
          </cell>
        </row>
        <row r="1797">
          <cell r="D1797">
            <v>0</v>
          </cell>
          <cell r="K1797">
            <v>0</v>
          </cell>
        </row>
        <row r="1798">
          <cell r="D1798">
            <v>0</v>
          </cell>
          <cell r="K1798">
            <v>0</v>
          </cell>
        </row>
        <row r="1799">
          <cell r="D1799">
            <v>0</v>
          </cell>
          <cell r="K1799">
            <v>0</v>
          </cell>
        </row>
        <row r="1800">
          <cell r="D1800">
            <v>0</v>
          </cell>
          <cell r="K1800">
            <v>0</v>
          </cell>
        </row>
        <row r="1801">
          <cell r="D1801">
            <v>0</v>
          </cell>
          <cell r="K1801">
            <v>0</v>
          </cell>
        </row>
        <row r="1802">
          <cell r="D1802">
            <v>0</v>
          </cell>
          <cell r="K1802">
            <v>0</v>
          </cell>
        </row>
        <row r="1803">
          <cell r="D1803">
            <v>0</v>
          </cell>
          <cell r="K1803">
            <v>0</v>
          </cell>
        </row>
        <row r="1804">
          <cell r="D1804">
            <v>0</v>
          </cell>
          <cell r="K1804">
            <v>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0</v>
          </cell>
        </row>
        <row r="1826">
          <cell r="D1826" t="str">
            <v>AM</v>
          </cell>
        </row>
        <row r="1832">
          <cell r="D1832" t="str">
            <v>C</v>
          </cell>
          <cell r="K1832" t="str">
            <v>Amount</v>
          </cell>
        </row>
        <row r="1834">
          <cell r="K1834">
            <v>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0</v>
          </cell>
        </row>
        <row r="1864">
          <cell r="D1864" t="str">
            <v>AM</v>
          </cell>
        </row>
        <row r="1866">
          <cell r="D1866">
            <v>0</v>
          </cell>
        </row>
        <row r="1868">
          <cell r="D1868">
            <v>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0</v>
          </cell>
          <cell r="K1872">
            <v>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0</v>
          </cell>
        </row>
        <row r="1902">
          <cell r="D1902" t="str">
            <v>AM</v>
          </cell>
        </row>
        <row r="1904">
          <cell r="D1904">
            <v>0</v>
          </cell>
        </row>
        <row r="1906">
          <cell r="D1906">
            <v>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0</v>
          </cell>
          <cell r="K1910">
            <v>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0</v>
          </cell>
        </row>
        <row r="1940">
          <cell r="D1940" t="str">
            <v>AM</v>
          </cell>
        </row>
        <row r="1946">
          <cell r="D1946" t="str">
            <v>C</v>
          </cell>
          <cell r="K1946" t="str">
            <v>Amount</v>
          </cell>
        </row>
        <row r="1948">
          <cell r="K1948">
            <v>0</v>
          </cell>
        </row>
        <row r="1949">
          <cell r="K1949">
            <v>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0</v>
          </cell>
        </row>
        <row r="1978">
          <cell r="D1978" t="str">
            <v>AM</v>
          </cell>
        </row>
        <row r="1980">
          <cell r="D1980">
            <v>0</v>
          </cell>
        </row>
        <row r="1982">
          <cell r="D1982">
            <v>0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0</v>
          </cell>
          <cell r="K1986">
            <v>0</v>
          </cell>
        </row>
        <row r="1987">
          <cell r="D1987">
            <v>0</v>
          </cell>
          <cell r="K1987">
            <v>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0</v>
          </cell>
        </row>
        <row r="2016">
          <cell r="D2016" t="str">
            <v>AM</v>
          </cell>
        </row>
        <row r="2018">
          <cell r="D2018">
            <v>0</v>
          </cell>
        </row>
        <row r="2020">
          <cell r="D2020">
            <v>0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0</v>
          </cell>
          <cell r="K2024">
            <v>0</v>
          </cell>
        </row>
        <row r="2025">
          <cell r="D2025">
            <v>0</v>
          </cell>
          <cell r="K2025">
            <v>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0</v>
          </cell>
        </row>
        <row r="2054">
          <cell r="D2054" t="str">
            <v>AM</v>
          </cell>
        </row>
        <row r="2060">
          <cell r="D2060" t="str">
            <v>C</v>
          </cell>
          <cell r="K2060" t="str">
            <v>Amount</v>
          </cell>
        </row>
        <row r="2062">
          <cell r="K2062">
            <v>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0</v>
          </cell>
        </row>
        <row r="2092">
          <cell r="D2092" t="str">
            <v>AM</v>
          </cell>
        </row>
        <row r="2094">
          <cell r="D2094">
            <v>0</v>
          </cell>
        </row>
        <row r="2096">
          <cell r="D2096">
            <v>0</v>
          </cell>
        </row>
        <row r="2098">
          <cell r="D2098" t="str">
            <v>C</v>
          </cell>
          <cell r="K2098" t="str">
            <v>Amount</v>
          </cell>
        </row>
        <row r="2100">
          <cell r="D2100">
            <v>0</v>
          </cell>
          <cell r="K2100">
            <v>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0</v>
          </cell>
        </row>
        <row r="2130">
          <cell r="D2130" t="str">
            <v>AM</v>
          </cell>
        </row>
        <row r="2132">
          <cell r="D2132">
            <v>0</v>
          </cell>
        </row>
        <row r="2134">
          <cell r="D2134">
            <v>0</v>
          </cell>
        </row>
        <row r="2136">
          <cell r="D2136" t="str">
            <v>C</v>
          </cell>
          <cell r="K2136" t="str">
            <v>Amount</v>
          </cell>
        </row>
        <row r="2138">
          <cell r="D2138">
            <v>0</v>
          </cell>
          <cell r="K2138">
            <v>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0</v>
          </cell>
        </row>
        <row r="2168">
          <cell r="D2168" t="str">
            <v>AM</v>
          </cell>
        </row>
        <row r="2174">
          <cell r="D2174" t="str">
            <v>C</v>
          </cell>
          <cell r="K2174" t="str">
            <v>Amount</v>
          </cell>
        </row>
        <row r="2176">
          <cell r="K2176">
            <v>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0</v>
          </cell>
        </row>
        <row r="2206">
          <cell r="D2206" t="str">
            <v>AM</v>
          </cell>
        </row>
        <row r="2208">
          <cell r="D2208">
            <v>0</v>
          </cell>
        </row>
        <row r="2210">
          <cell r="D2210">
            <v>0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0</v>
          </cell>
          <cell r="K2214">
            <v>0</v>
          </cell>
        </row>
        <row r="2215">
          <cell r="D2215">
            <v>0</v>
          </cell>
          <cell r="K2215">
            <v>0</v>
          </cell>
        </row>
        <row r="2216">
          <cell r="D2216">
            <v>0</v>
          </cell>
          <cell r="K2216">
            <v>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0</v>
          </cell>
        </row>
        <row r="2244">
          <cell r="D2244" t="str">
            <v>AM</v>
          </cell>
        </row>
        <row r="2246">
          <cell r="D2246">
            <v>0</v>
          </cell>
        </row>
        <row r="2248">
          <cell r="D2248">
            <v>0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0</v>
          </cell>
          <cell r="K2252">
            <v>0</v>
          </cell>
        </row>
        <row r="2253">
          <cell r="D2253">
            <v>0</v>
          </cell>
          <cell r="K2253">
            <v>0</v>
          </cell>
        </row>
        <row r="2254">
          <cell r="D2254">
            <v>0</v>
          </cell>
          <cell r="K2254">
            <v>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0</v>
          </cell>
        </row>
        <row r="2282">
          <cell r="D2282" t="str">
            <v>AM</v>
          </cell>
        </row>
        <row r="2288">
          <cell r="D2288" t="str">
            <v>C</v>
          </cell>
          <cell r="K2288" t="str">
            <v>Amount</v>
          </cell>
        </row>
        <row r="2290">
          <cell r="K2290">
            <v>0</v>
          </cell>
        </row>
        <row r="2291">
          <cell r="K2291">
            <v>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0</v>
          </cell>
        </row>
        <row r="2320">
          <cell r="D2320" t="str">
            <v>AM</v>
          </cell>
        </row>
        <row r="2322">
          <cell r="D2322">
            <v>0</v>
          </cell>
        </row>
        <row r="2324">
          <cell r="D2324">
            <v>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0</v>
          </cell>
          <cell r="K2328">
            <v>0</v>
          </cell>
        </row>
        <row r="2329">
          <cell r="D2329">
            <v>0</v>
          </cell>
          <cell r="K2329">
            <v>0</v>
          </cell>
        </row>
        <row r="2330">
          <cell r="D2330">
            <v>0</v>
          </cell>
          <cell r="K2330">
            <v>0</v>
          </cell>
        </row>
        <row r="2331">
          <cell r="D2331">
            <v>0</v>
          </cell>
          <cell r="K2331">
            <v>0</v>
          </cell>
        </row>
        <row r="2332">
          <cell r="D2332">
            <v>0</v>
          </cell>
          <cell r="K2332">
            <v>0</v>
          </cell>
        </row>
        <row r="2333">
          <cell r="D2333">
            <v>0</v>
          </cell>
          <cell r="K2333">
            <v>0</v>
          </cell>
        </row>
        <row r="2334">
          <cell r="D2334">
            <v>0</v>
          </cell>
          <cell r="K2334">
            <v>0</v>
          </cell>
        </row>
        <row r="2335">
          <cell r="D2335">
            <v>0</v>
          </cell>
          <cell r="K2335">
            <v>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0</v>
          </cell>
        </row>
        <row r="2358">
          <cell r="D2358" t="str">
            <v>AM</v>
          </cell>
        </row>
        <row r="2360">
          <cell r="D2360">
            <v>0</v>
          </cell>
        </row>
        <row r="2362">
          <cell r="D2362">
            <v>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0</v>
          </cell>
          <cell r="K2366">
            <v>0</v>
          </cell>
        </row>
        <row r="2367">
          <cell r="D2367">
            <v>0</v>
          </cell>
          <cell r="K2367">
            <v>0</v>
          </cell>
        </row>
        <row r="2368">
          <cell r="D2368">
            <v>0</v>
          </cell>
          <cell r="K2368">
            <v>0</v>
          </cell>
        </row>
        <row r="2369">
          <cell r="D2369">
            <v>0</v>
          </cell>
          <cell r="K2369">
            <v>0</v>
          </cell>
        </row>
        <row r="2370">
          <cell r="D2370">
            <v>0</v>
          </cell>
          <cell r="K2370">
            <v>0</v>
          </cell>
        </row>
        <row r="2371">
          <cell r="D2371">
            <v>0</v>
          </cell>
          <cell r="K2371">
            <v>0</v>
          </cell>
        </row>
        <row r="2372">
          <cell r="D2372">
            <v>0</v>
          </cell>
          <cell r="K2372">
            <v>0</v>
          </cell>
        </row>
        <row r="2373">
          <cell r="D2373">
            <v>0</v>
          </cell>
          <cell r="K2373">
            <v>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0</v>
          </cell>
        </row>
        <row r="2396">
          <cell r="D2396" t="str">
            <v>AM</v>
          </cell>
        </row>
        <row r="2402">
          <cell r="D2402" t="str">
            <v>C</v>
          </cell>
          <cell r="K2402" t="str">
            <v>Amount</v>
          </cell>
        </row>
        <row r="2404">
          <cell r="K2404">
            <v>0</v>
          </cell>
        </row>
        <row r="2405">
          <cell r="K2405">
            <v>0</v>
          </cell>
        </row>
        <row r="2406">
          <cell r="K2406">
            <v>0</v>
          </cell>
        </row>
        <row r="2407">
          <cell r="K2407">
            <v>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0</v>
          </cell>
        </row>
        <row r="2434">
          <cell r="D2434" t="str">
            <v>AM</v>
          </cell>
        </row>
        <row r="2436">
          <cell r="D2436">
            <v>0</v>
          </cell>
        </row>
        <row r="2438">
          <cell r="D2438">
            <v>0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0</v>
          </cell>
          <cell r="K2442">
            <v>0</v>
          </cell>
        </row>
        <row r="2443">
          <cell r="D2443">
            <v>0</v>
          </cell>
          <cell r="K2443">
            <v>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0</v>
          </cell>
        </row>
        <row r="2472">
          <cell r="D2472" t="str">
            <v>AM</v>
          </cell>
        </row>
        <row r="2474">
          <cell r="D2474">
            <v>0</v>
          </cell>
        </row>
        <row r="2476">
          <cell r="D2476">
            <v>0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0</v>
          </cell>
          <cell r="K2480">
            <v>0</v>
          </cell>
        </row>
        <row r="2481">
          <cell r="D2481">
            <v>0</v>
          </cell>
          <cell r="K2481">
            <v>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0</v>
          </cell>
        </row>
        <row r="2510">
          <cell r="D2510" t="str">
            <v>AM</v>
          </cell>
        </row>
        <row r="2516">
          <cell r="D2516" t="str">
            <v>C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0</v>
          </cell>
        </row>
        <row r="2548">
          <cell r="D2548" t="str">
            <v>AM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0</v>
          </cell>
          <cell r="K2556">
            <v>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0</v>
          </cell>
        </row>
        <row r="2586">
          <cell r="D2586" t="str">
            <v>AM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0</v>
          </cell>
          <cell r="K2594">
            <v>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0</v>
          </cell>
        </row>
        <row r="2624">
          <cell r="D2624" t="str">
            <v>AM</v>
          </cell>
        </row>
        <row r="2630">
          <cell r="D2630" t="str">
            <v>C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0</v>
          </cell>
        </row>
        <row r="2662">
          <cell r="D2662" t="str">
            <v>AM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0</v>
          </cell>
        </row>
        <row r="2700">
          <cell r="D2700" t="str">
            <v>AM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0</v>
          </cell>
        </row>
        <row r="2738">
          <cell r="D2738" t="str">
            <v>AM</v>
          </cell>
        </row>
        <row r="2744">
          <cell r="D2744" t="str">
            <v>C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0</v>
          </cell>
        </row>
        <row r="2776">
          <cell r="D2776" t="str">
            <v>AM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K2782" t="str">
            <v>Amount</v>
          </cell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0</v>
          </cell>
        </row>
        <row r="2814">
          <cell r="D2814" t="str">
            <v>AM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K2820" t="str">
            <v>Amount</v>
          </cell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0</v>
          </cell>
        </row>
        <row r="2852">
          <cell r="D2852" t="str">
            <v>AM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0</v>
          </cell>
        </row>
        <row r="2890">
          <cell r="D2890" t="str">
            <v>AM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0</v>
          </cell>
        </row>
        <row r="2928">
          <cell r="D2928" t="str">
            <v>AM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0</v>
          </cell>
        </row>
        <row r="2966">
          <cell r="D2966" t="str">
            <v>AM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0</v>
          </cell>
        </row>
        <row r="3004">
          <cell r="D3004" t="str">
            <v>AM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0</v>
          </cell>
        </row>
        <row r="3042">
          <cell r="D3042" t="str">
            <v>AM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0</v>
          </cell>
        </row>
        <row r="3080">
          <cell r="D3080" t="str">
            <v>AM</v>
          </cell>
        </row>
        <row r="3086">
          <cell r="D3086" t="str">
            <v>C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0</v>
          </cell>
        </row>
        <row r="3118">
          <cell r="D3118" t="str">
            <v>AM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K3124" t="str">
            <v>Amount</v>
          </cell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0</v>
          </cell>
        </row>
        <row r="3156">
          <cell r="D3156" t="str">
            <v>AM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K3162" t="str">
            <v>Amount</v>
          </cell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0</v>
          </cell>
        </row>
        <row r="3194">
          <cell r="D3194" t="str">
            <v>AM</v>
          </cell>
        </row>
        <row r="3200">
          <cell r="D3200" t="str">
            <v>C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0</v>
          </cell>
        </row>
        <row r="3232">
          <cell r="D3232" t="str">
            <v>AM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0</v>
          </cell>
        </row>
        <row r="3270">
          <cell r="D3270" t="str">
            <v>AM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0</v>
          </cell>
        </row>
        <row r="3308">
          <cell r="D3308" t="str">
            <v>AM</v>
          </cell>
        </row>
        <row r="3314">
          <cell r="D3314" t="str">
            <v>C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0</v>
          </cell>
        </row>
        <row r="3346">
          <cell r="D3346" t="str">
            <v>AM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0</v>
          </cell>
        </row>
        <row r="3384">
          <cell r="D3384" t="str">
            <v>AM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0</v>
          </cell>
        </row>
        <row r="3422">
          <cell r="D3422" t="str">
            <v>AM</v>
          </cell>
        </row>
        <row r="3428">
          <cell r="D3428" t="str">
            <v>C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0</v>
          </cell>
        </row>
        <row r="3460">
          <cell r="D3460" t="str">
            <v>AM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K3466" t="str">
            <v>Amount</v>
          </cell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0</v>
          </cell>
        </row>
        <row r="3498">
          <cell r="D3498" t="str">
            <v>AM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K3504" t="str">
            <v>Amount</v>
          </cell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0</v>
          </cell>
        </row>
        <row r="3536">
          <cell r="D3536" t="str">
            <v>AM</v>
          </cell>
        </row>
        <row r="3542">
          <cell r="D3542" t="str">
            <v>C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0</v>
          </cell>
        </row>
        <row r="3574">
          <cell r="D3574" t="str">
            <v>AM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K3580" t="str">
            <v>Amount</v>
          </cell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0</v>
          </cell>
        </row>
        <row r="3612">
          <cell r="D3612" t="str">
            <v>AM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K3618" t="str">
            <v>Amount</v>
          </cell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0</v>
          </cell>
        </row>
        <row r="3650">
          <cell r="D3650" t="str">
            <v>AM</v>
          </cell>
        </row>
        <row r="3656">
          <cell r="D3656" t="str">
            <v>C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0</v>
          </cell>
        </row>
        <row r="3688">
          <cell r="D3688" t="str">
            <v>AM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K3694" t="str">
            <v>Amount</v>
          </cell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0</v>
          </cell>
        </row>
        <row r="3726">
          <cell r="D3726" t="str">
            <v>AM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K3732" t="str">
            <v>Amount</v>
          </cell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0</v>
          </cell>
        </row>
        <row r="3764">
          <cell r="D3764" t="str">
            <v>AM</v>
          </cell>
        </row>
        <row r="3770">
          <cell r="D3770" t="str">
            <v>C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0</v>
          </cell>
        </row>
        <row r="3802">
          <cell r="D3802" t="str">
            <v>AM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0</v>
          </cell>
        </row>
        <row r="3840">
          <cell r="D3840" t="str">
            <v>AM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0</v>
          </cell>
        </row>
        <row r="3878">
          <cell r="D3878" t="str">
            <v>AM</v>
          </cell>
        </row>
        <row r="3884">
          <cell r="D3884" t="str">
            <v>C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0</v>
          </cell>
        </row>
        <row r="3916">
          <cell r="D3916" t="str">
            <v>AM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0</v>
          </cell>
        </row>
        <row r="3954">
          <cell r="D3954" t="str">
            <v>AM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0</v>
          </cell>
        </row>
        <row r="3992">
          <cell r="D3992" t="str">
            <v>AM</v>
          </cell>
        </row>
        <row r="3998">
          <cell r="D3998" t="str">
            <v>C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0</v>
          </cell>
        </row>
        <row r="4030">
          <cell r="D4030" t="str">
            <v>AM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0</v>
          </cell>
        </row>
        <row r="4068">
          <cell r="D4068" t="str">
            <v>AM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0</v>
          </cell>
        </row>
        <row r="4106">
          <cell r="D4106" t="str">
            <v>AM</v>
          </cell>
        </row>
        <row r="4112">
          <cell r="D4112" t="str">
            <v>C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0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K4150" t="str">
            <v>Amount</v>
          </cell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K4188" t="str">
            <v>Amount</v>
          </cell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0</v>
          </cell>
        </row>
        <row r="4220">
          <cell r="D4220" t="str">
            <v>AM</v>
          </cell>
        </row>
        <row r="4226">
          <cell r="D4226" t="str">
            <v>C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0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K4264" t="str">
            <v>Amount</v>
          </cell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K4302" t="str">
            <v>Amount</v>
          </cell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0</v>
          </cell>
        </row>
        <row r="4334">
          <cell r="D4334" t="str">
            <v>AM</v>
          </cell>
        </row>
        <row r="4340">
          <cell r="D4340" t="str">
            <v>C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0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3%20MAR\KELUAR%200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6.641595138892" createdVersion="5" refreshedVersion="5" minRefreshableVersion="3" recordCount="212">
  <cacheSource type="worksheet">
    <worksheetSource name="Table1" r:id="rId2"/>
  </cacheSource>
  <cacheFields count="29">
    <cacheField name="//" numFmtId="0">
      <sharedItems containsMixedTypes="1" containsNumber="1" containsInteger="1" minValue="3" maxValue="29" count="12">
        <n v="3"/>
        <s v=""/>
        <n v="5"/>
        <n v="9"/>
        <n v="11"/>
        <n v="14"/>
        <n v="17"/>
        <n v="20"/>
        <n v="22"/>
        <n v="24"/>
        <n v="27"/>
        <n v="29"/>
      </sharedItems>
    </cacheField>
    <cacheField name="h_No. Invoice :" numFmtId="0">
      <sharedItems containsMixedTypes="1" containsNumber="1" containsInteger="1" minValue="23030001" maxValue="23030011"/>
    </cacheField>
    <cacheField name="Tgl Invoice :" numFmtId="164">
      <sharedItems containsNonDate="0" containsDate="1" containsString="0" containsBlank="1" minDate="2023-03-03T00:00:00" maxDate="2023-03-12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3" maxValue="6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6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0600" maxValue="177000"/>
    </cacheField>
    <cacheField name="Disc 1" numFmtId="10">
      <sharedItems containsString="0" containsBlank="1" containsNumber="1" minValue="0.1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35340" maxValue="10206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29"/>
    </cacheField>
    <cacheField name="h_jumlahbarang" numFmtId="0">
      <sharedItems containsMixedTypes="1" containsNumber="1" containsInteger="1" minValue="1" maxValue="3"/>
    </cacheField>
    <cacheField name="h_hargasebelumdiskon" numFmtId="43">
      <sharedItems containsMixedTypes="1" containsNumber="1" containsInteger="1" minValue="372600" maxValue="11664000"/>
    </cacheField>
    <cacheField name="h_diskon" numFmtId="43">
      <sharedItems containsMixedTypes="1" containsNumber="1" containsInteger="1" minValue="0" maxValue="1458000"/>
    </cacheField>
    <cacheField name="h_hargasetelahdiskon" numFmtId="43">
      <sharedItems containsMixedTypes="1" containsNumber="1" containsInteger="1" minValue="335340" maxValue="10206000"/>
    </cacheField>
    <cacheField name="Total Invoice" numFmtId="43">
      <sharedItems containsMixedTypes="1" containsNumber="1" containsInteger="1" minValue="832140" maxValue="10206000"/>
    </cacheField>
    <cacheField name="KETERANGAN" numFmtId="43">
      <sharedItems containsNonDate="0" containsString="0" containsBlank="1"/>
    </cacheField>
    <cacheField name="H_A1" numFmtId="43">
      <sharedItems count="18">
        <s v="STAPLER KENKO HD-10LSN93000"/>
        <s v=""/>
        <s v="CRAYON / OIL PASTEL JOYKO OP-72S PP CASE SEA WORLDPCS96000"/>
        <s v="BINDER CLIP JOYKO 260GRS177000"/>
        <s v="PLAKBAND KAIN HITAM KENKO 48 MM (2&quot;) BLUE COREPCS12200"/>
        <s v="ISI CUTTER 18 MM KENKO L-150 (BESAR)LSN64800"/>
        <s v="BINDER CLIP JOYKO 105GRS27600"/>
        <s v="PENSIL WARNA KENKO CP-12F CLASSIC (PANJANG)LSN124200"/>
        <s v="LEM STICK KENKO 8 GR (KECIL) isi 30 pcBOX66000"/>
        <s v="LEM STICK KENKO 15 GR (TANGGUNG) isi 20 pcBOX72000"/>
        <s v="GEL PEN KENKO KE-303 T-GEL TRIANGULAR HITAMLSN21600"/>
        <s v="ISI STAPLER (STAPLES) GREATWALL GW-NO. 10 (KECIL)PAK13250"/>
        <s v="PENSIL WARNA JOYKO CP-12PB (PANJANG)SET10600"/>
        <s v="CORRECTION TAPE JOYKO CT-533LSN102000"/>
        <s v="PUNCH JOYKO 30XLLSN155400"/>
        <s v="GEL PEN KENKO EASY GELLSN26100"/>
        <s v="GEL PEN KENKO HI-TECH-H 0.28 MM FUN COLOR BIRULSN39000"/>
        <s v="BINDER CLIP KENKO NO. 260GRS177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">
  <r>
    <x v="0"/>
    <n v="23030001"/>
    <d v="2023-03-03T00:00:00"/>
    <s v="KO"/>
    <s v="1182"/>
    <s v="ANUGERAH"/>
    <s v="AM 23030001"/>
    <s v="KO 1182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3"/>
    <n v="1"/>
    <n v="9300000"/>
    <n v="1255500"/>
    <n v="8044500"/>
    <n v="804450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2"/>
    <n v="23030002"/>
    <d v="2023-03-03T00:00:00"/>
    <s v="KO"/>
    <s v="1097"/>
    <s v="CENTRAAL"/>
    <s v="AM 23030002"/>
    <s v="KO 1097"/>
    <s v="CV TRINITY CENTRAAL PURWOKERTO"/>
    <n v="24"/>
    <s v="PCS"/>
    <n v="1"/>
    <s v="OPJK72W"/>
    <s v="CRAYON / OIL PASTEL JOYKO OP-72S PP CASE SEA WORLD"/>
    <s v="CRAYON / OIL PASTEL JOYKO OP-72S PP CASE SEA WORLD"/>
    <n v="96000"/>
    <n v="0.13"/>
    <m/>
    <n v="2004480"/>
    <s v="NOVI / CONDRO"/>
    <m/>
    <n v="5"/>
    <n v="3"/>
    <n v="2304000"/>
    <n v="299520"/>
    <n v="2004480"/>
    <n v="4048110"/>
    <m/>
    <x v="2"/>
  </r>
  <r>
    <x v="1"/>
    <s v=""/>
    <m/>
    <m/>
    <m/>
    <m/>
    <s v=""/>
    <s v=" "/>
    <s v=""/>
    <n v="5"/>
    <s v="GRS"/>
    <n v="1"/>
    <s v="CLIjk260"/>
    <s v="BINDER CLIP JOYKO 260"/>
    <s v="BINDER CLIP JOYKO 260"/>
    <n v="177000"/>
    <n v="0.13"/>
    <m/>
    <n v="769950"/>
    <m/>
    <m/>
    <n v="5"/>
    <n v="3"/>
    <n v="885000"/>
    <n v="115050"/>
    <n v="769950"/>
    <s v=""/>
    <m/>
    <x v="3"/>
  </r>
  <r>
    <x v="1"/>
    <s v=""/>
    <m/>
    <m/>
    <m/>
    <m/>
    <s v=""/>
    <s v=" "/>
    <s v=""/>
    <n v="120"/>
    <s v="PCS"/>
    <n v="1"/>
    <m/>
    <s v="PLAKBAND KAIN HITAM KENKO 48 MM (2&quot;) BLUE CORE"/>
    <s v="PLAKBAND KAIN HITAM KENKO 48 MM (2&quot;) BLUE CORE"/>
    <n v="12200"/>
    <n v="0.13"/>
    <m/>
    <n v="1273680"/>
    <m/>
    <m/>
    <n v="5"/>
    <n v="3"/>
    <n v="1464000"/>
    <n v="190320"/>
    <n v="127368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3"/>
    <n v="23030003"/>
    <d v="2023-03-03T00:00:00"/>
    <s v="G"/>
    <s v="1012"/>
    <s v="REJOAGUNG"/>
    <s v="AM 23030003"/>
    <s v="G 1012"/>
    <s v="LILY JULIAWATI (REJO AGUNG) JOMBANG"/>
    <n v="180"/>
    <s v="LSN"/>
    <n v="3"/>
    <s v="ISIKENBESAR"/>
    <s v="ISI CUTTER 18 MM KENKO L-150 (BESAR)"/>
    <s v="ISI CUTTER 18 MM KENKO L-150 (BESAR)"/>
    <n v="64800"/>
    <n v="0.125"/>
    <m/>
    <n v="10206000"/>
    <s v="NOVI / CONDRO"/>
    <m/>
    <n v="9"/>
    <n v="1"/>
    <n v="11664000"/>
    <n v="1458000"/>
    <n v="10206000"/>
    <n v="10206000"/>
    <m/>
    <x v="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4"/>
    <n v="23030004"/>
    <d v="2023-03-06T00:00:00"/>
    <s v="KO"/>
    <s v="1192"/>
    <s v="WISUDA"/>
    <s v="AM 23030004"/>
    <s v="KO 1192"/>
    <s v="CV  WISUDA PURWOKERTO"/>
    <n v="20"/>
    <s v="GRS"/>
    <m/>
    <s v="CLIJK105"/>
    <s v="BINDER CLIP JOYKO 105"/>
    <s v="BINDER CLIP JOYKO 105"/>
    <n v="27600"/>
    <n v="0.1"/>
    <m/>
    <n v="496800"/>
    <s v="NOVI / CONDRO"/>
    <m/>
    <n v="11"/>
    <n v="2"/>
    <n v="552000"/>
    <n v="55200"/>
    <n v="496800"/>
    <n v="832140"/>
    <m/>
    <x v="6"/>
  </r>
  <r>
    <x v="1"/>
    <s v=""/>
    <m/>
    <m/>
    <m/>
    <m/>
    <s v=""/>
    <s v=" "/>
    <s v=""/>
    <n v="3"/>
    <s v="LSN"/>
    <m/>
    <s v="PWKEN12WPANJANG"/>
    <s v="PENSIL WARNA KENKO CP-12F CLASSIC (PANJANG)"/>
    <s v="PENSIL WARNA KENKO CP-12F CLASSIC (PANJANG)"/>
    <n v="124200"/>
    <n v="0.1"/>
    <m/>
    <n v="335340"/>
    <m/>
    <m/>
    <n v="11"/>
    <n v="2"/>
    <n v="372600"/>
    <n v="37260"/>
    <n v="335340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5"/>
    <n v="23030005"/>
    <d v="2023-03-06T00:00:00"/>
    <s v="KO"/>
    <s v="2906"/>
    <s v="CENTRAAL"/>
    <s v="AM 23030005"/>
    <s v="KO 2906"/>
    <s v="CV TRINITY CENTRAAL PURWOKERTO"/>
    <n v="36"/>
    <s v="BOX"/>
    <n v="1"/>
    <s v="LEMKEN8GR"/>
    <s v="LEM STICK KENKO 8 GR (KECIL) isi 30 pc"/>
    <s v="LEM STICK KENKO 8 GR (KECIL) isi 30 pc"/>
    <n v="66000"/>
    <n v="0.13"/>
    <m/>
    <n v="2067120"/>
    <s v="NOVI / CONDRO"/>
    <m/>
    <n v="14"/>
    <n v="2"/>
    <n v="2376000"/>
    <n v="308880"/>
    <n v="2067120"/>
    <n v="4322160"/>
    <m/>
    <x v="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"/>
    <m/>
    <n v="2255040"/>
    <m/>
    <m/>
    <n v="14"/>
    <n v="2"/>
    <n v="2592000"/>
    <n v="336960"/>
    <n v="225504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6"/>
    <n v="23030006"/>
    <d v="2023-03-06T00:00:00"/>
    <s v="KO"/>
    <s v="2907"/>
    <s v="ANUGERAH"/>
    <s v="AM 23030006"/>
    <s v="KO 2907"/>
    <s v="CV PELITA JAYA (ANUGERAH SEJAHTERA) PURWOKERTO"/>
    <n v="36"/>
    <s v="BOX"/>
    <n v="1"/>
    <s v="LEMKEN8GR"/>
    <s v="LEM STICK KENKO 8 GR (KECIL) isi 30 pc"/>
    <s v="LEM STICK KENKO 8 GR (KECIL) isi 30 pc"/>
    <n v="66000"/>
    <n v="0.13500000000000001"/>
    <m/>
    <n v="2055240"/>
    <s v="NOVI / CONDRO"/>
    <m/>
    <n v="17"/>
    <n v="2"/>
    <n v="2376000"/>
    <n v="320760"/>
    <n v="2055240"/>
    <n v="10126728"/>
    <m/>
    <x v="8"/>
  </r>
  <r>
    <x v="1"/>
    <s v=""/>
    <m/>
    <m/>
    <m/>
    <m/>
    <s v=""/>
    <s v=" "/>
    <s v=""/>
    <n v="432"/>
    <s v="LSN"/>
    <n v="3"/>
    <s v="PENKENKE303HITAM"/>
    <s v="GEL PEN KENKO KE-303 T-GEL TRIANGULAR HITAM"/>
    <s v="GEL PEN KENKO KE-303 T-GEL TRIANGULAR HITAM"/>
    <n v="21600"/>
    <n v="0.13500000000000001"/>
    <m/>
    <n v="8071488"/>
    <m/>
    <m/>
    <n v="17"/>
    <n v="2"/>
    <n v="9331200"/>
    <n v="1259712"/>
    <n v="8071488"/>
    <s v="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7"/>
    <n v="23030007"/>
    <d v="2023-03-07T00:00:00"/>
    <s v="KO"/>
    <s v="2909"/>
    <s v="bendan"/>
    <s v="AM 23030007"/>
    <s v="KO 2909"/>
    <s v="HARNOYO (BENDAN) PEKALONGAN"/>
    <n v="600"/>
    <s v="PAK"/>
    <n v="6"/>
    <s v="ISIGWNO10"/>
    <s v="ISI STAPLER (STAPLES) GREATWALL GW-NO. 10 (KECIL)"/>
    <s v="ISI STAPLER (STAPLES) GREATWALL GW-NO. 10 (KECIL)"/>
    <n v="13250"/>
    <m/>
    <m/>
    <n v="7950000"/>
    <s v="NOVI / CONDRO"/>
    <m/>
    <n v="20"/>
    <n v="1"/>
    <n v="7950000"/>
    <n v="0"/>
    <n v="7950000"/>
    <n v="7950000"/>
    <m/>
    <x v="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8"/>
    <n v="23030008"/>
    <d v="2023-03-08T00:00:00"/>
    <s v="KO"/>
    <s v="1009"/>
    <s v="LANCAR"/>
    <s v="AM 23030008"/>
    <s v="KO 1009"/>
    <s v="SOEYANTO LOPULUSI ( LANCAR ) MALANG"/>
    <n v="288"/>
    <s v="SET"/>
    <n v="2"/>
    <s v="PWJK12WPANJANG"/>
    <s v="PENSIL WARNA JOYKO CP-12PB (PANJANG)"/>
    <s v="PENSIL WARNA JOYKO CP-12PB (PANJANG)"/>
    <n v="10600"/>
    <n v="0.125"/>
    <m/>
    <n v="2671200"/>
    <s v="NOVI / CONDRO"/>
    <m/>
    <n v="22"/>
    <n v="1"/>
    <n v="3052800"/>
    <n v="381600"/>
    <n v="2671200"/>
    <n v="2671200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9"/>
    <n v="23030009"/>
    <d v="2023-03-09T00:00:00"/>
    <s v="KO"/>
    <s v="0734"/>
    <s v="LANCAR"/>
    <s v="AM 23030009"/>
    <s v="KO 0734"/>
    <s v="SOEYANTO LOPULUSI ( LANCAR ) MALANG"/>
    <n v="80"/>
    <s v="LSN"/>
    <n v="2"/>
    <s v="TIPJKCT533"/>
    <s v="CORRECTION TAPE JOYKO CT-533"/>
    <s v="CORRECTION TAPE JOYKO CT-533"/>
    <n v="102000"/>
    <n v="0.125"/>
    <m/>
    <n v="7140000"/>
    <s v="NOVI / CONDRO"/>
    <m/>
    <n v="24"/>
    <n v="2"/>
    <n v="8160000"/>
    <n v="1020000"/>
    <n v="7140000"/>
    <n v="8499750"/>
    <m/>
    <x v="13"/>
  </r>
  <r>
    <x v="1"/>
    <s v=""/>
    <m/>
    <m/>
    <m/>
    <m/>
    <s v=""/>
    <s v=" "/>
    <s v=""/>
    <n v="10"/>
    <s v="LSN"/>
    <n v="1"/>
    <s v="PUNJK30XL"/>
    <s v="PUNCH JOYKO 30XL"/>
    <s v="PUNCH JOYKO 30XL"/>
    <n v="155400"/>
    <n v="0.125"/>
    <m/>
    <n v="1359750"/>
    <m/>
    <m/>
    <n v="24"/>
    <n v="2"/>
    <n v="1554000"/>
    <n v="194250"/>
    <n v="1359750"/>
    <s v="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0"/>
    <n v="23030010"/>
    <d v="2023-03-10T00:00:00"/>
    <s v="KO"/>
    <s v="1224"/>
    <s v="CENTRAAL"/>
    <s v="AM 23030010"/>
    <s v="KO 1224"/>
    <s v="CV TRINITY CENTRAAL PURWOKERTO"/>
    <n v="48"/>
    <s v="LSN"/>
    <m/>
    <s v="PENKENEASYGEL"/>
    <s v="GEL PEN KENKO EASY GEL"/>
    <s v="GEL PEN KENKO EASY GEL"/>
    <n v="26100"/>
    <n v="0.13"/>
    <m/>
    <n v="1089936"/>
    <s v="NOVI / CONDRO"/>
    <m/>
    <n v="27"/>
    <n v="1"/>
    <n v="1252800"/>
    <n v="162864"/>
    <n v="1089936"/>
    <n v="1089936"/>
    <m/>
    <x v="1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1"/>
    <n v="23030011"/>
    <d v="2023-03-11T00:00:00"/>
    <s v="G"/>
    <s v="2966"/>
    <s v="UTAMA"/>
    <s v="AM 23030011"/>
    <s v="G 2966"/>
    <s v="CV UTAMA PUTRA TULUNG AGUNG"/>
    <n v="35"/>
    <s v="LSN"/>
    <m/>
    <s v="penkenhitech028funcolorbiru"/>
    <s v="GEL PEN KENKO HI-TECH-H 0.28 MM FUN COLOR BIRU"/>
    <s v="GEL PEN KENKO HI-TECH-H 0.28 MM FUN COLOR BIRU"/>
    <n v="39000"/>
    <n v="0.125"/>
    <m/>
    <n v="1194375"/>
    <s v="NOVI / CONDRO"/>
    <m/>
    <n v="29"/>
    <n v="1"/>
    <n v="1365000"/>
    <n v="170625"/>
    <n v="1194375"/>
    <n v="1194375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m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BINDER NOTE JOYKO A5 (CAMPUS/CLASSIC)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5" firstHeaderRow="1" firstDataRow="1" firstDataCol="1"/>
  <pivotFields count="29">
    <pivotField axis="axisRow" showAll="0" sortType="ascending">
      <items count="13">
        <item x="0"/>
        <item x="2"/>
        <item x="3"/>
        <item x="4"/>
        <item x="5"/>
        <item x="6"/>
        <item x="7"/>
        <item x="8"/>
        <item x="9"/>
        <item x="10"/>
        <item x="11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9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18">
        <item x="1"/>
        <item x="6"/>
        <item x="3"/>
        <item m="1" x="17"/>
        <item x="13"/>
        <item x="2"/>
        <item x="15"/>
        <item x="16"/>
        <item x="10"/>
        <item x="5"/>
        <item x="11"/>
        <item x="9"/>
        <item x="8"/>
        <item x="12"/>
        <item x="7"/>
        <item x="4"/>
        <item x="14"/>
        <item x="0"/>
      </items>
    </pivotField>
  </pivotFields>
  <rowFields count="1">
    <field x="28"/>
  </rowFields>
  <rowItems count="18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15" totalsRowCount="1" headerRowDxfId="94" dataDxfId="93">
  <autoFilter ref="A2:AC214"/>
  <tableColumns count="29">
    <tableColumn id="16" name="//" dataDxfId="92" totalsRowDxfId="28">
      <calculatedColumnFormula>IF(Table1[No. Invoice :]="","",ROW())</calculatedColumnFormula>
    </tableColumn>
    <tableColumn id="18" name="h_No. Invoice :" dataDxfId="91" totalsRowDxfId="27">
      <calculatedColumnFormula>IF(Table1[h_Kode Sales :_1]="","",B$1+COUNT(B$2:B2))</calculatedColumnFormula>
    </tableColumn>
    <tableColumn id="2" name="Tgl Invoice :" dataDxfId="90" totalsRowDxfId="26"/>
    <tableColumn id="17" name="h_Kode Sales :_1" dataDxfId="89" totalsRowDxfId="25"/>
    <tableColumn id="19" name="h_Kode Sales :_2" dataDxfId="88" totalsRowDxfId="24"/>
    <tableColumn id="20" name="h_toko" dataDxfId="87" totalsRowDxfId="23"/>
    <tableColumn id="1" name="No. Invoice :" dataDxfId="86" totalsRowDxfId="22">
      <calculatedColumnFormula>IF(Table1[[#This Row],[h_No. Invoice :]]="","",CONCATENATE("AM"," ",Table1[[#This Row],[h_No. Invoice :]]))</calculatedColumnFormula>
    </tableColumn>
    <tableColumn id="3" name="Kode Sales :" dataDxfId="85" totalsRowDxfId="21">
      <calculatedColumnFormula>CONCATENATE(UPPER(Table1[[#This Row],[h_Kode Sales :_1]])," ",Table1[[#This Row],[h_Kode Sales :_2]])</calculatedColumnFormula>
    </tableColumn>
    <tableColumn id="4" name="Toko" dataDxfId="84" totalsRowDxfId="20">
      <calculatedColumnFormula>IF(Table1[[#This Row],[h_toko]]="","",INDEX(Table2[e],IF(Table1[[#This Row],[h_toko]]="","",MATCH(Table1[[#This Row],[h_toko]],Table2[a],0)),))</calculatedColumnFormula>
    </tableColumn>
    <tableColumn id="5" name="Qty" dataDxfId="83" totalsRowDxfId="19"/>
    <tableColumn id="6" name="Unit" dataDxfId="82" totalsRowDxfId="18"/>
    <tableColumn id="7" name="C" dataDxfId="81" totalsRowDxfId="17"/>
    <tableColumn id="8" name="h_Item Description" dataDxfId="80" totalsRowDxfId="16"/>
    <tableColumn id="10" name="Column1" dataDxfId="79" totalsRowDxfId="15">
      <calculatedColumnFormula>IF(Table1[[#This Row],[h_Item Description]]="","",INDEX([1]!db[NB PAJAK],MATCH(Table1[[#This Row],[h_Item Description]],[1]!db[kode],0)))</calculatedColumnFormula>
    </tableColumn>
    <tableColumn id="9" name="Item Description" dataDxfId="78" totalsRowDxfId="14"/>
    <tableColumn id="11" name="Unit Price" dataDxfId="77" totalsRowDxfId="13"/>
    <tableColumn id="12" name="Disc 1" dataDxfId="76" totalsRowDxfId="12"/>
    <tableColumn id="13" name="Disc 2" dataDxfId="75" totalsRowDxfId="11"/>
    <tableColumn id="23" name="Amount" dataDxfId="74" totalsRowDxfId="10">
      <calculatedColumnFormula>Table1[[#This Row],[h_hargasetelahdiskon]]</calculatedColumnFormula>
    </tableColumn>
    <tableColumn id="14" name="pembuat nota :" dataDxfId="73" totalsRowDxfId="9"/>
    <tableColumn id="15" name="edited :" dataDxfId="72" totalsRowDxfId="8"/>
    <tableColumn id="21" name="h_id" dataDxfId="71" totalsRowDxfId="7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0" totalsRowDxfId="6">
      <calculatedColumnFormula>IF(Table1[[#This Row],[h_id]]="","",COUNTIF(Table1[h_id],Table1[[#This Row],[h_id]]))</calculatedColumnFormula>
    </tableColumn>
    <tableColumn id="24" name="h_hargasebelumdiskon" dataDxfId="69" totalsRowDxfId="5">
      <calculatedColumnFormula>IF(Table1[Item Description]="","",Table1[[#This Row],[Qty]]*Table1[[#This Row],[Unit Price]])</calculatedColumnFormula>
    </tableColumn>
    <tableColumn id="25" name="h_diskon" dataDxfId="68" totalsRowDxfId="4">
      <calculatedColumnFormula>IF(Table1[Item Description]="","",Table1[[#This Row],[h_hargasebelumdiskon]]*Table1[[#This Row],[Disc 1]])</calculatedColumnFormula>
    </tableColumn>
    <tableColumn id="26" name="h_hargasetelahdiskon" dataDxfId="67" totalsRowDxfId="3">
      <calculatedColumnFormula>IF(Table1[Item Description]="","",Table1[[#This Row],[h_hargasebelumdiskon]]-Table1[[#This Row],[h_diskon]])</calculatedColumnFormula>
    </tableColumn>
    <tableColumn id="27" name="Total Invoice" dataDxfId="66" totalsRowDxfId="2">
      <calculatedColumnFormula>IF(Table1[//]="","",SUMIF(Table1[h_id],Table1[h_id],Table1[h_hargasetelahdiskon]))</calculatedColumnFormula>
    </tableColumn>
    <tableColumn id="28" name="KETERANGAN" dataDxfId="65" totalsRowDxfId="1"/>
    <tableColumn id="29" name="H_A1" dataDxfId="64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62">
      <calculatedColumnFormula>IF(ROW()-2&lt;=jNota,A3,"")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45">
      <calculatedColumnFormula>IF(pajak[[#This Row],[Kode Sales :]]="","",MATCH(pajak[[#This Row],[Kode Sales :]],[2]Invoice!$D:$D,0))</calculatedColumnFormula>
    </tableColumn>
    <tableColumn id="2" name="cek_rekap(share)" dataDxfId="44">
      <calculatedColumnFormula>Table4[[#This Row],[cek_ppn]]+28</calculatedColumnFormula>
    </tableColumn>
    <tableColumn id="3" name="cek_rekap(network)" dataDxfId="43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41">
      <calculatedColumnFormula>MATCH(A2,Table1[H_A1],0)</calculatedColumnFormula>
    </tableColumn>
    <tableColumn id="7" name="//DB" dataDxfId="40">
      <calculatedColumnFormula>MATCH(Table5[[#This Row],[NAMA]],[1]!db[NB PAJAK],0)</calculatedColumnFormula>
    </tableColumn>
    <tableColumn id="2" name="NAMA" dataDxfId="39">
      <calculatedColumnFormula>INDEX(Table1[Item Description],Table5[[#This Row],[//NOTA]])</calculatedColumnFormula>
    </tableColumn>
    <tableColumn id="3" name="QTY" dataDxfId="38">
      <calculatedColumnFormula>SUMIF(Table1[H_A1],Sheet5!A2,Table1[Qty])</calculatedColumnFormula>
    </tableColumn>
    <tableColumn id="4" name="UNIT" dataDxfId="37">
      <calculatedColumnFormula>INDEX(Table1[Unit],Table5[[#This Row],[//NOTA]])</calculatedColumnFormula>
    </tableColumn>
    <tableColumn id="5" name="C" dataDxfId="36">
      <calculatedColumnFormula>SUMIF(Table1[H_A1],Sheet5!A2,Table1[C])</calculatedColumnFormula>
    </tableColumn>
    <tableColumn id="6" name="Unit Price" dataDxfId="35">
      <calculatedColumnFormula>INDEX(Table1[Unit Price],Table5[[#This Row],[//NOTA]])</calculatedColumnFormula>
    </tableColumn>
    <tableColumn id="8" name="a1" dataDxfId="34">
      <calculatedColumnFormula>IF(Table5[[#This Row],[a2]]="","",Table5[[#This Row],[QTY]]*12)</calculatedColumnFormula>
    </tableColumn>
    <tableColumn id="9" name="a2" dataDxfId="33">
      <calculatedColumnFormula>IF(Table5[[#This Row],[UNIT]]="grs","LSN",IF(Table5[[#This Row],[UNIT]]="LSN","PCS",""))</calculatedColumnFormula>
    </tableColumn>
    <tableColumn id="10" name="b1" dataDxfId="32">
      <calculatedColumnFormula>IF(Table5[[#This Row],[a2]]="LSN",Table5[[#This Row],[a1]]*12,"")</calculatedColumnFormula>
    </tableColumn>
    <tableColumn id="11" name="b2" dataDxfId="31">
      <calculatedColumnFormula>IF(Table5[[#This Row],[b1]]="","","PCS")</calculatedColumnFormula>
    </tableColumn>
    <tableColumn id="12" name="c1" dataDxfId="3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29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15"/>
  <sheetViews>
    <sheetView tabSelected="1" zoomScale="85" zoomScaleNormal="85" workbookViewId="0">
      <selection activeCell="N40" sqref="N40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23030001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91</v>
      </c>
      <c r="AC2" s="92" t="s">
        <v>108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23030001</v>
      </c>
      <c r="C3" s="98">
        <v>44988</v>
      </c>
      <c r="D3" s="92" t="s">
        <v>120</v>
      </c>
      <c r="E3" s="97" t="s">
        <v>121</v>
      </c>
      <c r="F3" s="92" t="s">
        <v>90</v>
      </c>
      <c r="G3" s="95" t="str">
        <f>IF(Table1[[#This Row],[h_No. Invoice :]]="","",CONCATENATE("AM"," ",Table1[[#This Row],[h_No. Invoice :]]))</f>
        <v>AM 23030001</v>
      </c>
      <c r="H3" s="96" t="str">
        <f>CONCATENATE(UPPER(Table1[[#This Row],[h_Kode Sales :_1]])," ",Table1[[#This Row],[h_Kode Sales :_2]])</f>
        <v>KO 1182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100</v>
      </c>
      <c r="K3" s="92" t="s">
        <v>122</v>
      </c>
      <c r="L3" s="92">
        <v>5</v>
      </c>
      <c r="M3" s="92" t="s">
        <v>123</v>
      </c>
      <c r="N3" s="196" t="str">
        <f>IF(Table1[[#This Row],[h_Item Description]]="","",INDEX([1]!db[NB PAJAK],MATCH(Table1[[#This Row],[h_Item Description]],[1]!db[kode],0)))</f>
        <v>STAPLER KENKO HD-10</v>
      </c>
      <c r="O3" s="92" t="s">
        <v>124</v>
      </c>
      <c r="P3" s="93">
        <v>93000</v>
      </c>
      <c r="Q3" s="94">
        <v>0.13500000000000001</v>
      </c>
      <c r="S3" s="199">
        <f>Table1[[#This Row],[h_hargasetelahdiskon]]</f>
        <v>8044500</v>
      </c>
      <c r="T3" s="93" t="s">
        <v>125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9300000</v>
      </c>
      <c r="Y3" s="93">
        <f>IF(Table1[Item Description]="","",Table1[[#This Row],[h_hargasebelumdiskon]]*Table1[[#This Row],[Disc 1]])</f>
        <v>1255500</v>
      </c>
      <c r="Z3" s="93">
        <f>IF(Table1[Item Description]="","",Table1[[#This Row],[h_hargasebelumdiskon]]-Table1[[#This Row],[h_diskon]])</f>
        <v>8044500</v>
      </c>
      <c r="AA3" s="93">
        <f ca="1">IF(Table1[//]="","",SUMIF(Table1[h_id],Table1[h_id],Table1[h_hargasetelahdiskon]))</f>
        <v>8044500</v>
      </c>
      <c r="AB3" s="93"/>
      <c r="AC3" s="93" t="str">
        <f>Table1[[#This Row],[Item Description]]&amp;Table1[[#This Row],[Unit]]&amp;Table1[[#This Row],[Unit Price]]</f>
        <v>STAPLER KENKO HD-10LSN93000</v>
      </c>
    </row>
    <row r="4" spans="1:29" x14ac:dyDescent="0.25">
      <c r="A4" s="95" t="str">
        <f>IF(Table1[No. Invoice :]="","",ROW())</f>
        <v/>
      </c>
      <c r="B4" s="295" t="str">
        <f>IF(Table1[h_Kode Sales :_1]="","",B$1+COUNT(B$2:B3))</f>
        <v/>
      </c>
      <c r="D4" s="296"/>
      <c r="E4" s="297"/>
      <c r="F4" s="296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6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298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IF(Table1[Item Description]="","",Table1[[#This Row],[h_hargasebelumdiskon]]*Table1[[#This Row],[Disc 1]])</f>
        <v/>
      </c>
      <c r="Z4" s="93" t="str">
        <f>IF(Table1[Item Description]="","",Table1[[#This Row],[h_hargasebelumdiskon]]-Table1[[#This Row],[h_diskon]])</f>
        <v/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/>
      </c>
    </row>
    <row r="5" spans="1:29" x14ac:dyDescent="0.25">
      <c r="A5" s="95">
        <f>IF(Table1[No. Invoice :]="","",ROW())</f>
        <v>5</v>
      </c>
      <c r="B5" s="196">
        <f>IF(Table1[h_Kode Sales :_1]="","",B$1+COUNT(B$2:B3))</f>
        <v>23030002</v>
      </c>
      <c r="C5" s="98">
        <v>44988</v>
      </c>
      <c r="D5" s="92" t="s">
        <v>120</v>
      </c>
      <c r="E5" s="97" t="s">
        <v>126</v>
      </c>
      <c r="F5" s="92" t="s">
        <v>42</v>
      </c>
      <c r="G5" s="95" t="str">
        <f>IF(Table1[[#This Row],[h_No. Invoice :]]="","",CONCATENATE("AM"," ",Table1[[#This Row],[h_No. Invoice :]]))</f>
        <v>AM 23030002</v>
      </c>
      <c r="H5" s="96" t="str">
        <f>CONCATENATE(UPPER(Table1[[#This Row],[h_Kode Sales :_1]])," ",Table1[[#This Row],[h_Kode Sales :_2]])</f>
        <v>KO 1097</v>
      </c>
      <c r="I5" s="95" t="str">
        <f>IF(Table1[[#This Row],[h_toko]]="","",INDEX(Table2[e],IF(Table1[[#This Row],[h_toko]]="","",MATCH(Table1[[#This Row],[h_toko]],Table2[a],0)),))</f>
        <v>CV TRINITY CENTRAAL PURWOKERTO</v>
      </c>
      <c r="J5" s="92">
        <v>24</v>
      </c>
      <c r="K5" s="92" t="s">
        <v>127</v>
      </c>
      <c r="L5" s="92">
        <v>1</v>
      </c>
      <c r="M5" s="92" t="s">
        <v>128</v>
      </c>
      <c r="N5" s="196" t="str">
        <f>IF(Table1[[#This Row],[h_Item Description]]="","",INDEX([1]!db[NB PAJAK],MATCH(Table1[[#This Row],[h_Item Description]],[1]!db[kode],0)))</f>
        <v>CRAYON / OIL PASTEL JOYKO OP-72S PP CASE SEA WORLD</v>
      </c>
      <c r="O5" s="92" t="s">
        <v>131</v>
      </c>
      <c r="P5" s="93">
        <v>96000</v>
      </c>
      <c r="Q5" s="94">
        <v>0.13</v>
      </c>
      <c r="S5" s="199">
        <f>Table1[[#This Row],[h_hargasetelahdiskon]]</f>
        <v>2004480</v>
      </c>
      <c r="T5" s="93" t="s">
        <v>125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3</v>
      </c>
      <c r="X5" s="93">
        <f>IF(Table1[Item Description]="","",Table1[[#This Row],[Qty]]*Table1[[#This Row],[Unit Price]])</f>
        <v>2304000</v>
      </c>
      <c r="Y5" s="93">
        <f>IF(Table1[Item Description]="","",Table1[[#This Row],[h_hargasebelumdiskon]]*Table1[[#This Row],[Disc 1]])</f>
        <v>299520</v>
      </c>
      <c r="Z5" s="93">
        <f>IF(Table1[Item Description]="","",Table1[[#This Row],[h_hargasebelumdiskon]]-Table1[[#This Row],[h_diskon]])</f>
        <v>2004480</v>
      </c>
      <c r="AA5" s="93">
        <f ca="1">IF(Table1[//]="","",SUMIF(Table1[h_id],Table1[h_id],Table1[h_hargasetelahdiskon]))</f>
        <v>4048110</v>
      </c>
      <c r="AB5" s="93"/>
      <c r="AC5" s="93" t="str">
        <f>Table1[[#This Row],[Item Description]]&amp;Table1[[#This Row],[Unit]]&amp;Table1[[#This Row],[Unit Price]]</f>
        <v>CRAYON / OIL PASTEL JOYKO OP-72S PP CASE SEA WORLDPCS96000</v>
      </c>
    </row>
    <row r="6" spans="1:29" x14ac:dyDescent="0.25">
      <c r="A6" s="95" t="str">
        <f>IF(Table1[No. Invoice :]="","",ROW())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5</v>
      </c>
      <c r="K6" s="92" t="s">
        <v>129</v>
      </c>
      <c r="L6" s="92">
        <v>1</v>
      </c>
      <c r="M6" s="92" t="s">
        <v>178</v>
      </c>
      <c r="N6" s="196" t="str">
        <f>IF(Table1[[#This Row],[h_Item Description]]="","",INDEX([1]!db[NB PAJAK],MATCH(Table1[[#This Row],[h_Item Description]],[1]!db[kode],0)))</f>
        <v>BINDER CLIP JOYKO 260</v>
      </c>
      <c r="O6" s="92" t="s">
        <v>179</v>
      </c>
      <c r="P6" s="93">
        <v>177000</v>
      </c>
      <c r="Q6" s="94">
        <v>0.13</v>
      </c>
      <c r="S6" s="199">
        <f>Table1[[#This Row],[h_hargasetelahdiskon]]</f>
        <v>769950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3</v>
      </c>
      <c r="X6" s="93">
        <f>IF(Table1[Item Description]="","",Table1[[#This Row],[Qty]]*Table1[[#This Row],[Unit Price]])</f>
        <v>885000</v>
      </c>
      <c r="Y6" s="93">
        <f>IF(Table1[Item Description]="","",Table1[[#This Row],[h_hargasebelumdiskon]]*Table1[[#This Row],[Disc 1]])</f>
        <v>115050</v>
      </c>
      <c r="Z6" s="93">
        <f>IF(Table1[Item Description]="","",Table1[[#This Row],[h_hargasebelumdiskon]]-Table1[[#This Row],[h_diskon]])</f>
        <v>769950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BINDER CLIP JOYKO 260GRS177000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120</v>
      </c>
      <c r="K7" s="92" t="s">
        <v>127</v>
      </c>
      <c r="L7" s="92">
        <v>1</v>
      </c>
      <c r="N7" s="196" t="s">
        <v>130</v>
      </c>
      <c r="O7" s="92" t="s">
        <v>130</v>
      </c>
      <c r="P7" s="93">
        <v>12200</v>
      </c>
      <c r="Q7" s="94">
        <v>0.13</v>
      </c>
      <c r="S7" s="199">
        <f>Table1[[#This Row],[h_hargasetelahdiskon]]</f>
        <v>1273680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3</v>
      </c>
      <c r="X7" s="93">
        <f>IF(Table1[Item Description]="","",Table1[[#This Row],[Qty]]*Table1[[#This Row],[Unit Price]])</f>
        <v>1464000</v>
      </c>
      <c r="Y7" s="93">
        <f>IF(Table1[Item Description]="","",Table1[[#This Row],[h_hargasebelumdiskon]]*Table1[[#This Row],[Disc 1]])</f>
        <v>190320</v>
      </c>
      <c r="Z7" s="93">
        <f>IF(Table1[Item Description]="","",Table1[[#This Row],[h_hargasebelumdiskon]]-Table1[[#This Row],[h_diskon]])</f>
        <v>1273680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PLAKBAND KAIN HITAM KENKO 48 MM (2") BLUE COREPCS12200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23030003</v>
      </c>
      <c r="C9" s="98">
        <v>44988</v>
      </c>
      <c r="D9" s="92" t="s">
        <v>132</v>
      </c>
      <c r="E9" s="97" t="s">
        <v>133</v>
      </c>
      <c r="F9" s="92" t="s">
        <v>99</v>
      </c>
      <c r="G9" s="95" t="str">
        <f>IF(Table1[[#This Row],[h_No. Invoice :]]="","",CONCATENATE("AM"," ",Table1[[#This Row],[h_No. Invoice :]]))</f>
        <v>AM 23030003</v>
      </c>
      <c r="H9" s="96" t="str">
        <f>CONCATENATE(UPPER(Table1[[#This Row],[h_Kode Sales :_1]])," ",Table1[[#This Row],[h_Kode Sales :_2]])</f>
        <v>G 1012</v>
      </c>
      <c r="I9" s="95" t="str">
        <f>IF(Table1[[#This Row],[h_toko]]="","",INDEX(Table2[e],IF(Table1[[#This Row],[h_toko]]="","",MATCH(Table1[[#This Row],[h_toko]],Table2[a],0)),))</f>
        <v>LILY JULIAWATI (REJO AGUNG) JOMBANG</v>
      </c>
      <c r="J9" s="92">
        <v>180</v>
      </c>
      <c r="K9" s="92" t="s">
        <v>122</v>
      </c>
      <c r="L9" s="92">
        <v>3</v>
      </c>
      <c r="M9" s="92" t="s">
        <v>134</v>
      </c>
      <c r="N9" s="196" t="str">
        <f>IF(Table1[[#This Row],[h_Item Description]]="","",INDEX([1]!db[NB PAJAK],MATCH(Table1[[#This Row],[h_Item Description]],[1]!db[kode],0)))</f>
        <v>ISI CUTTER 18 MM KENKO L-150 (BESAR)</v>
      </c>
      <c r="O9" s="92" t="s">
        <v>135</v>
      </c>
      <c r="P9" s="93">
        <v>64800</v>
      </c>
      <c r="Q9" s="94">
        <v>0.125</v>
      </c>
      <c r="S9" s="199">
        <f>Table1[[#This Row],[h_hargasetelahdiskon]]</f>
        <v>10206000</v>
      </c>
      <c r="T9" s="93" t="s">
        <v>125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1</v>
      </c>
      <c r="X9" s="93">
        <f>IF(Table1[Item Description]="","",Table1[[#This Row],[Qty]]*Table1[[#This Row],[Unit Price]])</f>
        <v>11664000</v>
      </c>
      <c r="Y9" s="93">
        <f>IF(Table1[Item Description]="","",Table1[[#This Row],[h_hargasebelumdiskon]]*Table1[[#This Row],[Disc 1]])</f>
        <v>1458000</v>
      </c>
      <c r="Z9" s="93">
        <f>IF(Table1[Item Description]="","",Table1[[#This Row],[h_hargasebelumdiskon]]-Table1[[#This Row],[h_diskon]])</f>
        <v>10206000</v>
      </c>
      <c r="AA9" s="93">
        <f ca="1">IF(Table1[//]="","",SUMIF(Table1[h_id],Table1[h_id],Table1[h_hargasetelahdiskon]))</f>
        <v>10206000</v>
      </c>
      <c r="AB9" s="93"/>
      <c r="AC9" s="93" t="str">
        <f>Table1[[#This Row],[Item Description]]&amp;Table1[[#This Row],[Unit]]&amp;Table1[[#This Row],[Unit Price]]</f>
        <v>ISI CUTTER 18 MM KENKO L-150 (BESAR)LSN64800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N10" s="196" t="str">
        <f>IF(Table1[[#This Row],[h_Item Description]]="","",INDEX([1]!db[NB PAJAK],MATCH(Table1[[#This Row],[h_Item Description]],[1]!db[kode],0)))</f>
        <v/>
      </c>
      <c r="P10" s="93"/>
      <c r="Q10" s="94"/>
      <c r="S10" s="199" t="str">
        <f>Table1[[#This Row],[h_hargasetelahdiskon]]</f>
        <v/>
      </c>
      <c r="V10" s="95" t="str">
        <f ca="1">IF(Table1[[#This Row],[Item Description]]="","",IF(Table1[[#This Row],[//]]="",INDIRECT(ADDRESS(ROW()-1,COLUMN())),Table1[[#This Row],[//]]))</f>
        <v/>
      </c>
      <c r="W10" s="95" t="str">
        <f ca="1">IF(Table1[[#This Row],[h_id]]="","",COUNTIF(Table1[h_id],Table1[[#This Row],[h_id]]))</f>
        <v/>
      </c>
      <c r="X10" s="93" t="str">
        <f>IF(Table1[Item Description]="","",Table1[[#This Row],[Qty]]*Table1[[#This Row],[Unit Price]])</f>
        <v/>
      </c>
      <c r="Y10" s="93" t="str">
        <f>IF(Table1[Item Description]="","",Table1[[#This Row],[h_hargasebelumdiskon]]*Table1[[#This Row],[Disc 1]])</f>
        <v/>
      </c>
      <c r="Z10" s="93" t="str">
        <f>IF(Table1[Item Description]="","",Table1[[#This Row],[h_hargasebelumdiskon]]-Table1[[#This Row],[h_diskon]])</f>
        <v/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/>
      </c>
    </row>
    <row r="11" spans="1:29" x14ac:dyDescent="0.25">
      <c r="A11" s="95">
        <f>IF(Table1[No. Invoice :]="","",ROW())</f>
        <v>11</v>
      </c>
      <c r="B11" s="196">
        <f>IF(Table1[h_Kode Sales :_1]="","",B$1+COUNT(B$2:B10))</f>
        <v>23030004</v>
      </c>
      <c r="C11" s="98">
        <v>44991</v>
      </c>
      <c r="D11" s="92" t="s">
        <v>120</v>
      </c>
      <c r="E11" s="97" t="s">
        <v>140</v>
      </c>
      <c r="F11" s="92" t="s">
        <v>97</v>
      </c>
      <c r="G11" s="95" t="str">
        <f>IF(Table1[[#This Row],[h_No. Invoice :]]="","",CONCATENATE("AM"," ",Table1[[#This Row],[h_No. Invoice :]]))</f>
        <v>AM 23030004</v>
      </c>
      <c r="H11" s="96" t="str">
        <f>CONCATENATE(UPPER(Table1[[#This Row],[h_Kode Sales :_1]])," ",Table1[[#This Row],[h_Kode Sales :_2]])</f>
        <v>KO 1192</v>
      </c>
      <c r="I11" s="95" t="str">
        <f>IF(Table1[[#This Row],[h_toko]]="","",INDEX(Table2[e],IF(Table1[[#This Row],[h_toko]]="","",MATCH(Table1[[#This Row],[h_toko]],Table2[a],0)),))</f>
        <v>CV  WISUDA PURWOKERTO</v>
      </c>
      <c r="J11" s="92">
        <v>20</v>
      </c>
      <c r="K11" s="92" t="s">
        <v>129</v>
      </c>
      <c r="M11" s="92" t="s">
        <v>141</v>
      </c>
      <c r="N11" s="196" t="str">
        <f>IF(Table1[[#This Row],[h_Item Description]]="","",INDEX([1]!db[NB PAJAK],MATCH(Table1[[#This Row],[h_Item Description]],[1]!db[kode],0)))</f>
        <v>BINDER CLIP JOYKO 105</v>
      </c>
      <c r="O11" s="92" t="s">
        <v>144</v>
      </c>
      <c r="P11" s="93">
        <v>27600</v>
      </c>
      <c r="Q11" s="94">
        <v>0.1</v>
      </c>
      <c r="S11" s="199">
        <f>Table1[[#This Row],[h_hargasetelahdiskon]]</f>
        <v>496800</v>
      </c>
      <c r="T11" s="93" t="s">
        <v>125</v>
      </c>
      <c r="V11" s="95">
        <f ca="1">IF(Table1[[#This Row],[Item Description]]="","",IF(Table1[[#This Row],[//]]="",INDIRECT(ADDRESS(ROW()-1,COLUMN())),Table1[[#This Row],[//]]))</f>
        <v>11</v>
      </c>
      <c r="W11" s="95">
        <f ca="1">IF(Table1[[#This Row],[h_id]]="","",COUNTIF(Table1[h_id],Table1[[#This Row],[h_id]]))</f>
        <v>2</v>
      </c>
      <c r="X11" s="93">
        <f>IF(Table1[Item Description]="","",Table1[[#This Row],[Qty]]*Table1[[#This Row],[Unit Price]])</f>
        <v>552000</v>
      </c>
      <c r="Y11" s="93">
        <f>IF(Table1[Item Description]="","",Table1[[#This Row],[h_hargasebelumdiskon]]*Table1[[#This Row],[Disc 1]])</f>
        <v>55200</v>
      </c>
      <c r="Z11" s="93">
        <f>IF(Table1[Item Description]="","",Table1[[#This Row],[h_hargasebelumdiskon]]-Table1[[#This Row],[h_diskon]])</f>
        <v>496800</v>
      </c>
      <c r="AA11" s="93">
        <f ca="1">IF(Table1[//]="","",SUMIF(Table1[h_id],Table1[h_id],Table1[h_hargasetelahdiskon]))</f>
        <v>832140</v>
      </c>
      <c r="AB11" s="93"/>
      <c r="AC11" s="93" t="str">
        <f>Table1[[#This Row],[Item Description]]&amp;Table1[[#This Row],[Unit]]&amp;Table1[[#This Row],[Unit Price]]</f>
        <v>BINDER CLIP JOYKO 105GRS27600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3</v>
      </c>
      <c r="K12" s="92" t="s">
        <v>122</v>
      </c>
      <c r="M12" s="92" t="s">
        <v>142</v>
      </c>
      <c r="N12" s="196" t="str">
        <f>IF(Table1[[#This Row],[h_Item Description]]="","",INDEX([1]!db[NB PAJAK],MATCH(Table1[[#This Row],[h_Item Description]],[1]!db[kode],0)))</f>
        <v>PENSIL WARNA KENKO CP-12F CLASSIC (PANJANG)</v>
      </c>
      <c r="O12" s="92" t="s">
        <v>143</v>
      </c>
      <c r="P12" s="93">
        <v>124200</v>
      </c>
      <c r="Q12" s="94">
        <v>0.1</v>
      </c>
      <c r="S12" s="199">
        <f>Table1[[#This Row],[h_hargasetelahdiskon]]</f>
        <v>335340</v>
      </c>
      <c r="V12" s="95">
        <f ca="1">IF(Table1[[#This Row],[Item Description]]="","",IF(Table1[[#This Row],[//]]="",INDIRECT(ADDRESS(ROW()-1,COLUMN())),Table1[[#This Row],[//]]))</f>
        <v>11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372600</v>
      </c>
      <c r="Y12" s="93">
        <f>IF(Table1[Item Description]="","",Table1[[#This Row],[h_hargasebelumdiskon]]*Table1[[#This Row],[Disc 1]])</f>
        <v>37260</v>
      </c>
      <c r="Z12" s="93">
        <f>IF(Table1[Item Description]="","",Table1[[#This Row],[h_hargasebelumdiskon]]-Table1[[#This Row],[h_diskon]])</f>
        <v>335340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KENKO CP-12F CLASSIC (PANJANG)LSN124200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N13" s="196" t="str">
        <f>IF(Table1[[#This Row],[h_Item Description]]="","",INDEX([1]!db[NB PAJAK],MATCH(Table1[[#This Row],[h_Item Description]],[1]!db[kode],0)))</f>
        <v/>
      </c>
      <c r="P13" s="93"/>
      <c r="Q13" s="94"/>
      <c r="S13" s="199" t="str">
        <f>Table1[[#This Row],[h_hargasetelahdiskon]]</f>
        <v/>
      </c>
      <c r="V13" s="95" t="str">
        <f ca="1">IF(Table1[[#This Row],[Item Description]]="","",IF(Table1[[#This Row],[//]]="",INDIRECT(ADDRESS(ROW()-1,COLUMN())),Table1[[#This Row],[//]]))</f>
        <v/>
      </c>
      <c r="W13" s="95" t="str">
        <f ca="1">IF(Table1[[#This Row],[h_id]]="","",COUNTIF(Table1[h_id],Table1[[#This Row],[h_id]]))</f>
        <v/>
      </c>
      <c r="X13" s="93" t="str">
        <f>IF(Table1[Item Description]="","",Table1[[#This Row],[Qty]]*Table1[[#This Row],[Unit Price]])</f>
        <v/>
      </c>
      <c r="Y13" s="93" t="str">
        <f>IF(Table1[Item Description]="","",Table1[[#This Row],[h_hargasebelumdiskon]]*Table1[[#This Row],[Disc 1]])</f>
        <v/>
      </c>
      <c r="Z13" s="93" t="str">
        <f>IF(Table1[Item Description]="","",Table1[[#This Row],[h_hargasebelumdiskon]]-Table1[[#This Row],[h_diskon]])</f>
        <v/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/>
      </c>
    </row>
    <row r="14" spans="1:29" x14ac:dyDescent="0.25">
      <c r="A14" s="95">
        <f>IF(Table1[No. Invoice :]="","",ROW())</f>
        <v>14</v>
      </c>
      <c r="B14" s="196">
        <f>IF(Table1[h_Kode Sales :_1]="","",B$1+COUNT(B$2:B13))</f>
        <v>23030005</v>
      </c>
      <c r="C14" s="98">
        <v>44991</v>
      </c>
      <c r="D14" s="92" t="s">
        <v>120</v>
      </c>
      <c r="E14" s="97" t="s">
        <v>147</v>
      </c>
      <c r="F14" s="92" t="s">
        <v>42</v>
      </c>
      <c r="G14" s="95" t="str">
        <f>IF(Table1[[#This Row],[h_No. Invoice :]]="","",CONCATENATE("AM"," ",Table1[[#This Row],[h_No. Invoice :]]))</f>
        <v>AM 23030005</v>
      </c>
      <c r="H14" s="96" t="str">
        <f>CONCATENATE(UPPER(Table1[[#This Row],[h_Kode Sales :_1]])," ",Table1[[#This Row],[h_Kode Sales :_2]])</f>
        <v>KO 2906</v>
      </c>
      <c r="I14" s="95" t="str">
        <f>IF(Table1[[#This Row],[h_toko]]="","",INDEX(Table2[e],IF(Table1[[#This Row],[h_toko]]="","",MATCH(Table1[[#This Row],[h_toko]],Table2[a],0)),))</f>
        <v>CV TRINITY CENTRAAL PURWOKERTO</v>
      </c>
      <c r="J14" s="92">
        <v>36</v>
      </c>
      <c r="K14" s="92" t="s">
        <v>148</v>
      </c>
      <c r="L14" s="92">
        <v>1</v>
      </c>
      <c r="M14" s="92" t="s">
        <v>149</v>
      </c>
      <c r="N14" s="196" t="str">
        <f>IF(Table1[[#This Row],[h_Item Description]]="","",INDEX([1]!db[NB PAJAK],MATCH(Table1[[#This Row],[h_Item Description]],[1]!db[kode],0)))</f>
        <v>LEM STICK KENKO 8 GR (KECIL) isi 30 pc</v>
      </c>
      <c r="O14" s="92" t="s">
        <v>151</v>
      </c>
      <c r="P14" s="93">
        <v>66000</v>
      </c>
      <c r="Q14" s="94">
        <v>0.13</v>
      </c>
      <c r="S14" s="199">
        <f>Table1[[#This Row],[h_hargasetelahdiskon]]</f>
        <v>2067120</v>
      </c>
      <c r="T14" s="93" t="s">
        <v>125</v>
      </c>
      <c r="V14" s="95">
        <f ca="1">IF(Table1[[#This Row],[Item Description]]="","",IF(Table1[[#This Row],[//]]="",INDIRECT(ADDRESS(ROW()-1,COLUMN())),Table1[[#This Row],[//]]))</f>
        <v>14</v>
      </c>
      <c r="W14" s="95">
        <f ca="1">IF(Table1[[#This Row],[h_id]]="","",COUNTIF(Table1[h_id],Table1[[#This Row],[h_id]]))</f>
        <v>2</v>
      </c>
      <c r="X14" s="93">
        <f>IF(Table1[Item Description]="","",Table1[[#This Row],[Qty]]*Table1[[#This Row],[Unit Price]])</f>
        <v>2376000</v>
      </c>
      <c r="Y14" s="93">
        <f>IF(Table1[Item Description]="","",Table1[[#This Row],[h_hargasebelumdiskon]]*Table1[[#This Row],[Disc 1]])</f>
        <v>308880</v>
      </c>
      <c r="Z14" s="93">
        <f>IF(Table1[Item Description]="","",Table1[[#This Row],[h_hargasebelumdiskon]]-Table1[[#This Row],[h_diskon]])</f>
        <v>2067120</v>
      </c>
      <c r="AA14" s="93">
        <f ca="1">IF(Table1[//]="","",SUMIF(Table1[h_id],Table1[h_id],Table1[h_hargasetelahdiskon]))</f>
        <v>4322160</v>
      </c>
      <c r="AB14" s="93"/>
      <c r="AC14" s="93" t="str">
        <f>Table1[[#This Row],[Item Description]]&amp;Table1[[#This Row],[Unit]]&amp;Table1[[#This Row],[Unit Price]]</f>
        <v>LEM STICK KENKO 8 GR (KECIL) isi 30 pcBOX66000</v>
      </c>
    </row>
    <row r="15" spans="1:29" x14ac:dyDescent="0.25">
      <c r="A15" s="95" t="str">
        <f>IF(Table1[No. Invoice :]="","",ROW())</f>
        <v/>
      </c>
      <c r="B15" s="196" t="str">
        <f>IF(Table1[h_Kode Sales :_1]="","",B$1+COUNT(B$2:B14))</f>
        <v/>
      </c>
      <c r="D15" s="197"/>
      <c r="E15" s="198"/>
      <c r="F15" s="197"/>
      <c r="G15" s="95" t="str">
        <f>IF(Table1[[#This Row],[h_No. Invoice :]]="","",CONCATENATE("AM"," ",Table1[[#This Row],[h_No. Invoice :]]))</f>
        <v/>
      </c>
      <c r="H15" s="96" t="str">
        <f>CONCATENATE(UPPER(Table1[[#This Row],[h_Kode Sales :_1]])," ",Table1[[#This Row],[h_Kode Sales :_2]])</f>
        <v xml:space="preserve"> </v>
      </c>
      <c r="I15" s="95" t="str">
        <f>IF(Table1[[#This Row],[h_toko]]="","",INDEX(Table2[e],IF(Table1[[#This Row],[h_toko]]="","",MATCH(Table1[[#This Row],[h_toko]],Table2[a],0)),))</f>
        <v/>
      </c>
      <c r="J15" s="92">
        <v>36</v>
      </c>
      <c r="K15" s="92" t="s">
        <v>148</v>
      </c>
      <c r="L15" s="92">
        <v>1</v>
      </c>
      <c r="M15" s="92" t="s">
        <v>150</v>
      </c>
      <c r="N15" s="196" t="str">
        <f>IF(Table1[[#This Row],[h_Item Description]]="","",INDEX([1]!db[NB PAJAK],MATCH(Table1[[#This Row],[h_Item Description]],[1]!db[kode],0)))</f>
        <v>LEM STICK KENKO 15 GR (TANGGUNG) isi 20 pc</v>
      </c>
      <c r="O15" s="92" t="s">
        <v>152</v>
      </c>
      <c r="P15" s="93">
        <v>72000</v>
      </c>
      <c r="Q15" s="94">
        <v>0.13</v>
      </c>
      <c r="S15" s="199">
        <f>Table1[[#This Row],[h_hargasetelahdiskon]]</f>
        <v>2255040</v>
      </c>
      <c r="V15" s="95">
        <f ca="1">IF(Table1[[#This Row],[Item Description]]="","",IF(Table1[[#This Row],[//]]="",INDIRECT(ADDRESS(ROW()-1,COLUMN())),Table1[[#This Row],[//]]))</f>
        <v>14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2592000</v>
      </c>
      <c r="Y15" s="93">
        <f>IF(Table1[Item Description]="","",Table1[[#This Row],[h_hargasebelumdiskon]]*Table1[[#This Row],[Disc 1]])</f>
        <v>336960</v>
      </c>
      <c r="Z15" s="93">
        <f>IF(Table1[Item Description]="","",Table1[[#This Row],[h_hargasebelumdiskon]]-Table1[[#This Row],[h_diskon]])</f>
        <v>2255040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LEM STICK KENKO 15 GR (TANGGUNG) isi 20 pcBOX72000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N16" s="196" t="str">
        <f>IF(Table1[[#This Row],[h_Item Description]]="","",INDEX([1]!db[NB PAJAK],MATCH(Table1[[#This Row],[h_Item Description]],[1]!db[kode],0)))</f>
        <v/>
      </c>
      <c r="P16" s="93"/>
      <c r="Q16" s="94"/>
      <c r="S16" s="199" t="str">
        <f>Table1[[#This Row],[h_hargasetelahdiskon]]</f>
        <v/>
      </c>
      <c r="V16" s="95" t="str">
        <f ca="1">IF(Table1[[#This Row],[Item Description]]="","",IF(Table1[[#This Row],[//]]="",INDIRECT(ADDRESS(ROW()-1,COLUMN())),Table1[[#This Row],[//]]))</f>
        <v/>
      </c>
      <c r="W16" s="95" t="str">
        <f ca="1">IF(Table1[[#This Row],[h_id]]="","",COUNTIF(Table1[h_id],Table1[[#This Row],[h_id]]))</f>
        <v/>
      </c>
      <c r="X16" s="93" t="str">
        <f>IF(Table1[Item Description]="","",Table1[[#This Row],[Qty]]*Table1[[#This Row],[Unit Price]])</f>
        <v/>
      </c>
      <c r="Y16" s="93" t="str">
        <f>IF(Table1[Item Description]="","",Table1[[#This Row],[h_hargasebelumdiskon]]*Table1[[#This Row],[Disc 1]])</f>
        <v/>
      </c>
      <c r="Z16" s="93" t="str">
        <f>IF(Table1[Item Description]="","",Table1[[#This Row],[h_hargasebelumdiskon]]-Table1[[#This Row],[h_diskon]])</f>
        <v/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/>
      </c>
    </row>
    <row r="17" spans="1:29" x14ac:dyDescent="0.25">
      <c r="A17" s="95">
        <f>IF(Table1[No. Invoice :]="","",ROW())</f>
        <v>17</v>
      </c>
      <c r="B17" s="196">
        <f>IF(Table1[h_Kode Sales :_1]="","",B$1+COUNT(B$2:B16))</f>
        <v>23030006</v>
      </c>
      <c r="C17" s="98">
        <v>44991</v>
      </c>
      <c r="D17" s="92" t="s">
        <v>120</v>
      </c>
      <c r="E17" s="97" t="s">
        <v>155</v>
      </c>
      <c r="F17" s="92" t="s">
        <v>90</v>
      </c>
      <c r="G17" s="95" t="str">
        <f>IF(Table1[[#This Row],[h_No. Invoice :]]="","",CONCATENATE("AM"," ",Table1[[#This Row],[h_No. Invoice :]]))</f>
        <v>AM 23030006</v>
      </c>
      <c r="H17" s="96" t="str">
        <f>CONCATENATE(UPPER(Table1[[#This Row],[h_Kode Sales :_1]])," ",Table1[[#This Row],[h_Kode Sales :_2]])</f>
        <v>KO 2907</v>
      </c>
      <c r="I17" s="95" t="str">
        <f>IF(Table1[[#This Row],[h_toko]]="","",INDEX(Table2[e],IF(Table1[[#This Row],[h_toko]]="","",MATCH(Table1[[#This Row],[h_toko]],Table2[a],0)),))</f>
        <v>CV PELITA JAYA (ANUGERAH SEJAHTERA) PURWOKERTO</v>
      </c>
      <c r="J17" s="92">
        <v>36</v>
      </c>
      <c r="K17" s="92" t="s">
        <v>148</v>
      </c>
      <c r="L17" s="92">
        <v>1</v>
      </c>
      <c r="M17" s="92" t="s">
        <v>149</v>
      </c>
      <c r="N17" s="196" t="str">
        <f>IF(Table1[[#This Row],[h_Item Description]]="","",INDEX([1]!db[NB PAJAK],MATCH(Table1[[#This Row],[h_Item Description]],[1]!db[kode],0)))</f>
        <v>LEM STICK KENKO 8 GR (KECIL) isi 30 pc</v>
      </c>
      <c r="O17" s="92" t="s">
        <v>151</v>
      </c>
      <c r="P17" s="93">
        <v>66000</v>
      </c>
      <c r="Q17" s="94">
        <v>0.13500000000000001</v>
      </c>
      <c r="S17" s="199">
        <f>Table1[[#This Row],[h_hargasetelahdiskon]]</f>
        <v>2055240</v>
      </c>
      <c r="T17" s="93" t="s">
        <v>125</v>
      </c>
      <c r="V17" s="95">
        <f ca="1">IF(Table1[[#This Row],[Item Description]]="","",IF(Table1[[#This Row],[//]]="",INDIRECT(ADDRESS(ROW()-1,COLUMN())),Table1[[#This Row],[//]]))</f>
        <v>17</v>
      </c>
      <c r="W17" s="95">
        <f ca="1">IF(Table1[[#This Row],[h_id]]="","",COUNTIF(Table1[h_id],Table1[[#This Row],[h_id]]))</f>
        <v>2</v>
      </c>
      <c r="X17" s="93">
        <f>IF(Table1[Item Description]="","",Table1[[#This Row],[Qty]]*Table1[[#This Row],[Unit Price]])</f>
        <v>2376000</v>
      </c>
      <c r="Y17" s="93">
        <f>IF(Table1[Item Description]="","",Table1[[#This Row],[h_hargasebelumdiskon]]*Table1[[#This Row],[Disc 1]])</f>
        <v>320760</v>
      </c>
      <c r="Z17" s="93">
        <f>IF(Table1[Item Description]="","",Table1[[#This Row],[h_hargasebelumdiskon]]-Table1[[#This Row],[h_diskon]])</f>
        <v>2055240</v>
      </c>
      <c r="AA17" s="93">
        <f ca="1">IF(Table1[//]="","",SUMIF(Table1[h_id],Table1[h_id],Table1[h_hargasetelahdiskon]))</f>
        <v>10126728</v>
      </c>
      <c r="AB17" s="93"/>
      <c r="AC17" s="93" t="str">
        <f>Table1[[#This Row],[Item Description]]&amp;Table1[[#This Row],[Unit]]&amp;Table1[[#This Row],[Unit Price]]</f>
        <v>LEM STICK KENKO 8 GR (KECIL) isi 30 pcBOX66000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432</v>
      </c>
      <c r="K18" s="92" t="s">
        <v>122</v>
      </c>
      <c r="L18" s="92">
        <v>3</v>
      </c>
      <c r="M18" s="92" t="s">
        <v>156</v>
      </c>
      <c r="N18" s="196" t="str">
        <f>IF(Table1[[#This Row],[h_Item Description]]="","",INDEX([1]!db[NB PAJAK],MATCH(Table1[[#This Row],[h_Item Description]],[1]!db[kode],0)))</f>
        <v>GEL PEN KENKO KE-303 T-GEL TRIANGULAR HITAM</v>
      </c>
      <c r="O18" s="92" t="s">
        <v>157</v>
      </c>
      <c r="P18" s="93">
        <v>21600</v>
      </c>
      <c r="Q18" s="94">
        <v>0.13500000000000001</v>
      </c>
      <c r="S18" s="199">
        <f>Table1[[#This Row],[h_hargasetelahdiskon]]</f>
        <v>8071488</v>
      </c>
      <c r="V18" s="95">
        <f ca="1">IF(Table1[[#This Row],[Item Description]]="","",IF(Table1[[#This Row],[//]]="",INDIRECT(ADDRESS(ROW()-1,COLUMN())),Table1[[#This Row],[//]]))</f>
        <v>17</v>
      </c>
      <c r="W18" s="95">
        <f ca="1">IF(Table1[[#This Row],[h_id]]="","",COUNTIF(Table1[h_id],Table1[[#This Row],[h_id]]))</f>
        <v>2</v>
      </c>
      <c r="X18" s="93">
        <f>IF(Table1[Item Description]="","",Table1[[#This Row],[Qty]]*Table1[[#This Row],[Unit Price]])</f>
        <v>9331200</v>
      </c>
      <c r="Y18" s="93">
        <f>IF(Table1[Item Description]="","",Table1[[#This Row],[h_hargasebelumdiskon]]*Table1[[#This Row],[Disc 1]])</f>
        <v>1259712</v>
      </c>
      <c r="Z18" s="93">
        <f>IF(Table1[Item Description]="","",Table1[[#This Row],[h_hargasebelumdiskon]]-Table1[[#This Row],[h_diskon]])</f>
        <v>8071488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GEL PEN KENKO KE-303 T-GEL TRIANGULAR HITAMLSN21600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N19" s="196" t="str">
        <f>IF(Table1[[#This Row],[h_Item Description]]="","",INDEX([1]!db[NB PAJAK],MATCH(Table1[[#This Row],[h_Item Description]],[1]!db[kode],0)))</f>
        <v/>
      </c>
      <c r="P19" s="93"/>
      <c r="Q19" s="94"/>
      <c r="S19" s="199" t="str">
        <f>Table1[[#This Row],[h_hargasetelahdiskon]]</f>
        <v/>
      </c>
      <c r="V19" s="95" t="str">
        <f ca="1">IF(Table1[[#This Row],[Item Description]]="","",IF(Table1[[#This Row],[//]]="",INDIRECT(ADDRESS(ROW()-1,COLUMN())),Table1[[#This Row],[//]]))</f>
        <v/>
      </c>
      <c r="W19" s="95" t="str">
        <f ca="1">IF(Table1[[#This Row],[h_id]]="","",COUNTIF(Table1[h_id],Table1[[#This Row],[h_id]]))</f>
        <v/>
      </c>
      <c r="X19" s="93" t="str">
        <f>IF(Table1[Item Description]="","",Table1[[#This Row],[Qty]]*Table1[[#This Row],[Unit Price]])</f>
        <v/>
      </c>
      <c r="Y19" s="93" t="str">
        <f>IF(Table1[Item Description]="","",Table1[[#This Row],[h_hargasebelumdiskon]]*Table1[[#This Row],[Disc 1]])</f>
        <v/>
      </c>
      <c r="Z19" s="93" t="str">
        <f>IF(Table1[Item Description]="","",Table1[[#This Row],[h_hargasebelumdiskon]]-Table1[[#This Row],[h_diskon]])</f>
        <v/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/>
      </c>
    </row>
    <row r="20" spans="1:29" x14ac:dyDescent="0.25">
      <c r="A20" s="95">
        <f>IF(Table1[No. Invoice :]="","",ROW())</f>
        <v>20</v>
      </c>
      <c r="B20" s="196">
        <f>IF(Table1[h_Kode Sales :_1]="","",B$1+COUNT(B$2:B19))</f>
        <v>23030007</v>
      </c>
      <c r="C20" s="98">
        <v>44992</v>
      </c>
      <c r="D20" s="92" t="s">
        <v>159</v>
      </c>
      <c r="E20" s="97" t="s">
        <v>160</v>
      </c>
      <c r="F20" s="92" t="s">
        <v>161</v>
      </c>
      <c r="G20" s="95" t="str">
        <f>IF(Table1[[#This Row],[h_No. Invoice :]]="","",CONCATENATE("AM"," ",Table1[[#This Row],[h_No. Invoice :]]))</f>
        <v>AM 23030007</v>
      </c>
      <c r="H20" s="96" t="str">
        <f>CONCATENATE(UPPER(Table1[[#This Row],[h_Kode Sales :_1]])," ",Table1[[#This Row],[h_Kode Sales :_2]])</f>
        <v>KO 2909</v>
      </c>
      <c r="I20" s="95" t="str">
        <f>IF(Table1[[#This Row],[h_toko]]="","",INDEX(Table2[e],IF(Table1[[#This Row],[h_toko]]="","",MATCH(Table1[[#This Row],[h_toko]],Table2[a],0)),))</f>
        <v>HARNOYO (BENDAN) PEKALONGAN</v>
      </c>
      <c r="J20" s="92">
        <v>600</v>
      </c>
      <c r="K20" s="92" t="s">
        <v>163</v>
      </c>
      <c r="L20" s="92">
        <v>6</v>
      </c>
      <c r="M20" s="92" t="s">
        <v>162</v>
      </c>
      <c r="N20" s="196" t="str">
        <f>IF(Table1[[#This Row],[h_Item Description]]="","",INDEX([1]!db[NB PAJAK],MATCH(Table1[[#This Row],[h_Item Description]],[1]!db[kode],0)))</f>
        <v>ISI STAPLER (STAPLES) GREATWALL GW-NO. 10 (KECIL)</v>
      </c>
      <c r="O20" s="92" t="s">
        <v>164</v>
      </c>
      <c r="P20" s="93">
        <v>13250</v>
      </c>
      <c r="Q20" s="94"/>
      <c r="S20" s="199">
        <f>Table1[[#This Row],[h_hargasetelahdiskon]]</f>
        <v>7950000</v>
      </c>
      <c r="T20" s="93" t="s">
        <v>125</v>
      </c>
      <c r="V20" s="95">
        <f ca="1">IF(Table1[[#This Row],[Item Description]]="","",IF(Table1[[#This Row],[//]]="",INDIRECT(ADDRESS(ROW()-1,COLUMN())),Table1[[#This Row],[//]]))</f>
        <v>20</v>
      </c>
      <c r="W20" s="95">
        <f ca="1">IF(Table1[[#This Row],[h_id]]="","",COUNTIF(Table1[h_id],Table1[[#This Row],[h_id]]))</f>
        <v>1</v>
      </c>
      <c r="X20" s="93">
        <f>IF(Table1[Item Description]="","",Table1[[#This Row],[Qty]]*Table1[[#This Row],[Unit Price]])</f>
        <v>7950000</v>
      </c>
      <c r="Y20" s="93">
        <f>IF(Table1[Item Description]="","",Table1[[#This Row],[h_hargasebelumdiskon]]*Table1[[#This Row],[Disc 1]])</f>
        <v>0</v>
      </c>
      <c r="Z20" s="93">
        <f>IF(Table1[Item Description]="","",Table1[[#This Row],[h_hargasebelumdiskon]]-Table1[[#This Row],[h_diskon]])</f>
        <v>7950000</v>
      </c>
      <c r="AA20" s="93">
        <f ca="1">IF(Table1[//]="","",SUMIF(Table1[h_id],Table1[h_id],Table1[h_hargasetelahdiskon]))</f>
        <v>7950000</v>
      </c>
      <c r="AB20" s="93"/>
      <c r="AC20" s="93" t="str">
        <f>Table1[[#This Row],[Item Description]]&amp;Table1[[#This Row],[Unit]]&amp;Table1[[#This Row],[Unit Price]]</f>
        <v>ISI STAPLER (STAPLES) GREATWALL GW-NO. 10 (KECIL)PAK13250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N21" s="196" t="str">
        <f>IF(Table1[[#This Row],[h_Item Description]]="","",INDEX([1]!db[NB PAJAK],MATCH(Table1[[#This Row],[h_Item Description]],[1]!db[kode],0)))</f>
        <v/>
      </c>
      <c r="P21" s="93"/>
      <c r="Q21" s="94"/>
      <c r="S21" s="199" t="str">
        <f>Table1[[#This Row],[h_hargasetelahdiskon]]</f>
        <v/>
      </c>
      <c r="V21" s="95" t="str">
        <f ca="1">IF(Table1[[#This Row],[Item Description]]="","",IF(Table1[[#This Row],[//]]="",INDIRECT(ADDRESS(ROW()-1,COLUMN())),Table1[[#This Row],[//]]))</f>
        <v/>
      </c>
      <c r="W21" s="95" t="str">
        <f ca="1">IF(Table1[[#This Row],[h_id]]="","",COUNTIF(Table1[h_id],Table1[[#This Row],[h_id]]))</f>
        <v/>
      </c>
      <c r="X21" s="93" t="str">
        <f>IF(Table1[Item Description]="","",Table1[[#This Row],[Qty]]*Table1[[#This Row],[Unit Price]])</f>
        <v/>
      </c>
      <c r="Y21" s="93" t="str">
        <f>IF(Table1[Item Description]="","",Table1[[#This Row],[h_hargasebelumdiskon]]*Table1[[#This Row],[Disc 1]])</f>
        <v/>
      </c>
      <c r="Z21" s="93" t="str">
        <f>IF(Table1[Item Description]="","",Table1[[#This Row],[h_hargasebelumdiskon]]-Table1[[#This Row],[h_diskon]])</f>
        <v/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/>
      </c>
    </row>
    <row r="22" spans="1:29" x14ac:dyDescent="0.25">
      <c r="A22" s="95">
        <f>IF(Table1[No. Invoice :]="","",ROW())</f>
        <v>22</v>
      </c>
      <c r="B22" s="196">
        <f>IF(Table1[h_Kode Sales :_1]="","",B$1+COUNT(B$2:B21))</f>
        <v>23030008</v>
      </c>
      <c r="C22" s="98">
        <v>44993</v>
      </c>
      <c r="D22" s="92" t="s">
        <v>120</v>
      </c>
      <c r="E22" s="97" t="s">
        <v>166</v>
      </c>
      <c r="F22" s="92" t="s">
        <v>100</v>
      </c>
      <c r="G22" s="95" t="str">
        <f>IF(Table1[[#This Row],[h_No. Invoice :]]="","",CONCATENATE("AM"," ",Table1[[#This Row],[h_No. Invoice :]]))</f>
        <v>AM 23030008</v>
      </c>
      <c r="H22" s="96" t="str">
        <f>CONCATENATE(UPPER(Table1[[#This Row],[h_Kode Sales :_1]])," ",Table1[[#This Row],[h_Kode Sales :_2]])</f>
        <v>KO 1009</v>
      </c>
      <c r="I22" s="95" t="str">
        <f>IF(Table1[[#This Row],[h_toko]]="","",INDEX(Table2[e],IF(Table1[[#This Row],[h_toko]]="","",MATCH(Table1[[#This Row],[h_toko]],Table2[a],0)),))</f>
        <v>SOEYANTO LOPULUSI ( LANCAR ) MALANG</v>
      </c>
      <c r="J22" s="92">
        <v>288</v>
      </c>
      <c r="K22" s="92" t="s">
        <v>167</v>
      </c>
      <c r="L22" s="92">
        <v>2</v>
      </c>
      <c r="M22" s="92" t="s">
        <v>168</v>
      </c>
      <c r="N22" s="196" t="str">
        <f>IF(Table1[[#This Row],[h_Item Description]]="","",INDEX([1]!db[NB PAJAK],MATCH(Table1[[#This Row],[h_Item Description]],[1]!db[kode],0)))</f>
        <v>PENSIL WARNA JOYKO CP-12PB (PANJANG)</v>
      </c>
      <c r="O22" s="92" t="s">
        <v>169</v>
      </c>
      <c r="P22" s="93">
        <v>10600</v>
      </c>
      <c r="Q22" s="94">
        <v>0.125</v>
      </c>
      <c r="S22" s="199">
        <f>Table1[[#This Row],[h_hargasetelahdiskon]]</f>
        <v>2671200</v>
      </c>
      <c r="T22" s="93" t="s">
        <v>125</v>
      </c>
      <c r="V22" s="95">
        <f ca="1">IF(Table1[[#This Row],[Item Description]]="","",IF(Table1[[#This Row],[//]]="",INDIRECT(ADDRESS(ROW()-1,COLUMN())),Table1[[#This Row],[//]]))</f>
        <v>22</v>
      </c>
      <c r="W22" s="95">
        <f ca="1">IF(Table1[[#This Row],[h_id]]="","",COUNTIF(Table1[h_id],Table1[[#This Row],[h_id]]))</f>
        <v>1</v>
      </c>
      <c r="X22" s="93">
        <f>IF(Table1[Item Description]="","",Table1[[#This Row],[Qty]]*Table1[[#This Row],[Unit Price]])</f>
        <v>3052800</v>
      </c>
      <c r="Y22" s="93">
        <f>IF(Table1[Item Description]="","",Table1[[#This Row],[h_hargasebelumdiskon]]*Table1[[#This Row],[Disc 1]])</f>
        <v>381600</v>
      </c>
      <c r="Z22" s="93">
        <f>IF(Table1[Item Description]="","",Table1[[#This Row],[h_hargasebelumdiskon]]-Table1[[#This Row],[h_diskon]])</f>
        <v>2671200</v>
      </c>
      <c r="AA22" s="93">
        <f ca="1">IF(Table1[//]="","",SUMIF(Table1[h_id],Table1[h_id],Table1[h_hargasetelahdiskon]))</f>
        <v>2671200</v>
      </c>
      <c r="AB22" s="93"/>
      <c r="AC22" s="93" t="str">
        <f>Table1[[#This Row],[Item Description]]&amp;Table1[[#This Row],[Unit]]&amp;Table1[[#This Row],[Unit Price]]</f>
        <v>PENSIL WARNA JOYKO CP-12PB (PANJANG)SET10600</v>
      </c>
    </row>
    <row r="23" spans="1:29" x14ac:dyDescent="0.25">
      <c r="A23" s="95" t="str">
        <f>IF(Table1[No. Invoice :]="","",ROW())</f>
        <v/>
      </c>
      <c r="B23" s="196" t="str">
        <f>IF(Table1[h_Kode Sales :_1]="","",B$1+COUNT(B$2:B22))</f>
        <v/>
      </c>
      <c r="D23" s="197"/>
      <c r="E23" s="198"/>
      <c r="F23" s="197"/>
      <c r="G23" s="95" t="str">
        <f>IF(Table1[[#This Row],[h_No. Invoice :]]="","",CONCATENATE("AM"," ",Table1[[#This Row],[h_No. Invoice :]]))</f>
        <v/>
      </c>
      <c r="H23" s="96" t="str">
        <f>CONCATENATE(UPPER(Table1[[#This Row],[h_Kode Sales :_1]])," ",Table1[[#This Row],[h_Kode Sales :_2]])</f>
        <v xml:space="preserve"> </v>
      </c>
      <c r="I23" s="95" t="str">
        <f>IF(Table1[[#This Row],[h_toko]]="","",INDEX(Table2[e],IF(Table1[[#This Row],[h_toko]]="","",MATCH(Table1[[#This Row],[h_toko]],Table2[a],0)),))</f>
        <v/>
      </c>
      <c r="M23" s="197"/>
      <c r="N23" s="196" t="str">
        <f>IF(Table1[[#This Row],[h_Item Description]]="","",INDEX([1]!db[NB PAJAK],MATCH(Table1[[#This Row],[h_Item Description]],[1]!db[kode],0)))</f>
        <v/>
      </c>
      <c r="P23" s="93"/>
      <c r="Q23" s="94"/>
      <c r="S23" s="199" t="str">
        <f>Table1[[#This Row],[h_hargasetelahdiskon]]</f>
        <v/>
      </c>
      <c r="V23" s="95" t="str">
        <f ca="1">IF(Table1[[#This Row],[Item Description]]="","",IF(Table1[[#This Row],[//]]="",INDIRECT(ADDRESS(ROW()-1,COLUMN())),Table1[[#This Row],[//]]))</f>
        <v/>
      </c>
      <c r="W23" s="95" t="str">
        <f ca="1">IF(Table1[[#This Row],[h_id]]="","",COUNTIF(Table1[h_id],Table1[[#This Row],[h_id]]))</f>
        <v/>
      </c>
      <c r="X23" s="93" t="str">
        <f>IF(Table1[Item Description]="","",Table1[[#This Row],[Qty]]*Table1[[#This Row],[Unit Price]])</f>
        <v/>
      </c>
      <c r="Y23" s="93" t="str">
        <f>IF(Table1[Item Description]="","",Table1[[#This Row],[h_hargasebelumdiskon]]*Table1[[#This Row],[Disc 1]])</f>
        <v/>
      </c>
      <c r="Z23" s="93" t="str">
        <f>IF(Table1[Item Description]="","",Table1[[#This Row],[h_hargasebelumdiskon]]-Table1[[#This Row],[h_diskon]])</f>
        <v/>
      </c>
      <c r="AA23" s="93" t="str">
        <f>IF(Table1[//]="","",SUMIF(Table1[h_id],Table1[h_id],Table1[h_hargasetelahdiskon]))</f>
        <v/>
      </c>
      <c r="AB23" s="93"/>
      <c r="AC23" s="93" t="str">
        <f>Table1[[#This Row],[Item Description]]&amp;Table1[[#This Row],[Unit]]&amp;Table1[[#This Row],[Unit Price]]</f>
        <v/>
      </c>
    </row>
    <row r="24" spans="1:29" x14ac:dyDescent="0.25">
      <c r="A24" s="95">
        <f>IF(Table1[No. Invoice :]="","",ROW())</f>
        <v>24</v>
      </c>
      <c r="B24" s="196">
        <f>IF(Table1[h_Kode Sales :_1]="","",B$1+COUNT(B$2:B23))</f>
        <v>23030009</v>
      </c>
      <c r="C24" s="98">
        <v>44994</v>
      </c>
      <c r="D24" s="92" t="s">
        <v>120</v>
      </c>
      <c r="E24" s="97" t="s">
        <v>171</v>
      </c>
      <c r="F24" s="92" t="s">
        <v>100</v>
      </c>
      <c r="G24" s="95" t="str">
        <f>IF(Table1[[#This Row],[h_No. Invoice :]]="","",CONCATENATE("AM"," ",Table1[[#This Row],[h_No. Invoice :]]))</f>
        <v>AM 23030009</v>
      </c>
      <c r="H24" s="96" t="str">
        <f>CONCATENATE(UPPER(Table1[[#This Row],[h_Kode Sales :_1]])," ",Table1[[#This Row],[h_Kode Sales :_2]])</f>
        <v>KO 0734</v>
      </c>
      <c r="I24" s="95" t="str">
        <f>IF(Table1[[#This Row],[h_toko]]="","",INDEX(Table2[e],IF(Table1[[#This Row],[h_toko]]="","",MATCH(Table1[[#This Row],[h_toko]],Table2[a],0)),))</f>
        <v>SOEYANTO LOPULUSI ( LANCAR ) MALANG</v>
      </c>
      <c r="J24" s="92">
        <v>80</v>
      </c>
      <c r="K24" s="92" t="s">
        <v>122</v>
      </c>
      <c r="L24" s="92">
        <v>2</v>
      </c>
      <c r="M24" s="92" t="s">
        <v>172</v>
      </c>
      <c r="N24" s="196" t="str">
        <f>IF(Table1[[#This Row],[h_Item Description]]="","",INDEX([1]!db[NB PAJAK],MATCH(Table1[[#This Row],[h_Item Description]],[1]!db[kode],0)))</f>
        <v>CORRECTION TAPE JOYKO CT-533</v>
      </c>
      <c r="O24" s="92" t="s">
        <v>173</v>
      </c>
      <c r="P24" s="93">
        <v>102000</v>
      </c>
      <c r="Q24" s="94">
        <v>0.125</v>
      </c>
      <c r="S24" s="199">
        <f>Table1[[#This Row],[h_hargasetelahdiskon]]</f>
        <v>7140000</v>
      </c>
      <c r="T24" s="93" t="s">
        <v>125</v>
      </c>
      <c r="V24" s="95">
        <f ca="1">IF(Table1[[#This Row],[Item Description]]="","",IF(Table1[[#This Row],[//]]="",INDIRECT(ADDRESS(ROW()-1,COLUMN())),Table1[[#This Row],[//]]))</f>
        <v>24</v>
      </c>
      <c r="W24" s="95">
        <f ca="1">IF(Table1[[#This Row],[h_id]]="","",COUNTIF(Table1[h_id],Table1[[#This Row],[h_id]]))</f>
        <v>2</v>
      </c>
      <c r="X24" s="93">
        <f>IF(Table1[Item Description]="","",Table1[[#This Row],[Qty]]*Table1[[#This Row],[Unit Price]])</f>
        <v>8160000</v>
      </c>
      <c r="Y24" s="93">
        <f>IF(Table1[Item Description]="","",Table1[[#This Row],[h_hargasebelumdiskon]]*Table1[[#This Row],[Disc 1]])</f>
        <v>1020000</v>
      </c>
      <c r="Z24" s="93">
        <f>IF(Table1[Item Description]="","",Table1[[#This Row],[h_hargasebelumdiskon]]-Table1[[#This Row],[h_diskon]])</f>
        <v>7140000</v>
      </c>
      <c r="AA24" s="93">
        <f ca="1">IF(Table1[//]="","",SUMIF(Table1[h_id],Table1[h_id],Table1[h_hargasetelahdiskon]))</f>
        <v>8499750</v>
      </c>
      <c r="AB24" s="93"/>
      <c r="AC24" s="93" t="str">
        <f>Table1[[#This Row],[Item Description]]&amp;Table1[[#This Row],[Unit]]&amp;Table1[[#This Row],[Unit Price]]</f>
        <v>CORRECTION TAPE JOYKO CT-533LSN102000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10</v>
      </c>
      <c r="K25" s="92" t="s">
        <v>122</v>
      </c>
      <c r="L25" s="92">
        <v>1</v>
      </c>
      <c r="M25" s="92" t="s">
        <v>174</v>
      </c>
      <c r="N25" s="196" t="str">
        <f>IF(Table1[[#This Row],[h_Item Description]]="","",INDEX([1]!db[NB PAJAK],MATCH(Table1[[#This Row],[h_Item Description]],[1]!db[kode],0)))</f>
        <v>PUNCH JOYKO 30XL</v>
      </c>
      <c r="O25" s="92" t="s">
        <v>175</v>
      </c>
      <c r="P25" s="93">
        <v>155400</v>
      </c>
      <c r="Q25" s="94">
        <v>0.125</v>
      </c>
      <c r="S25" s="199">
        <f>Table1[[#This Row],[h_hargasetelahdiskon]]</f>
        <v>1359750</v>
      </c>
      <c r="V25" s="95">
        <f ca="1">IF(Table1[[#This Row],[Item Description]]="","",IF(Table1[[#This Row],[//]]="",INDIRECT(ADDRESS(ROW()-1,COLUMN())),Table1[[#This Row],[//]]))</f>
        <v>24</v>
      </c>
      <c r="W25" s="95">
        <f ca="1">IF(Table1[[#This Row],[h_id]]="","",COUNTIF(Table1[h_id],Table1[[#This Row],[h_id]]))</f>
        <v>2</v>
      </c>
      <c r="X25" s="93">
        <f>IF(Table1[Item Description]="","",Table1[[#This Row],[Qty]]*Table1[[#This Row],[Unit Price]])</f>
        <v>1554000</v>
      </c>
      <c r="Y25" s="93">
        <f>IF(Table1[Item Description]="","",Table1[[#This Row],[h_hargasebelumdiskon]]*Table1[[#This Row],[Disc 1]])</f>
        <v>194250</v>
      </c>
      <c r="Z25" s="93">
        <f>IF(Table1[Item Description]="","",Table1[[#This Row],[h_hargasebelumdiskon]]-Table1[[#This Row],[h_diskon]])</f>
        <v>1359750</v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>PUNCH JOYKO 30XLLSN155400</v>
      </c>
    </row>
    <row r="26" spans="1:29" x14ac:dyDescent="0.25">
      <c r="A26" s="95" t="str">
        <f>IF(Table1[No. Invoice :]="","",ROW())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M26" s="197"/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IF(Table1[Item Description]="","",Table1[[#This Row],[h_hargasebelumdiskon]]*Table1[[#This Row],[Disc 1]])</f>
        <v/>
      </c>
      <c r="Z26" s="93" t="str">
        <f>IF(Table1[Item Description]="","",Table1[[#This Row],[h_hargasebelumdiskon]]-Table1[[#This Row],[h_diskon]])</f>
        <v/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/>
      </c>
    </row>
    <row r="27" spans="1:29" x14ac:dyDescent="0.25">
      <c r="A27" s="95">
        <f>IF(Table1[No. Invoice :]="","",ROW())</f>
        <v>27</v>
      </c>
      <c r="B27" s="196">
        <f>IF(Table1[h_Kode Sales :_1]="","",B$1+COUNT(B$2:B26))</f>
        <v>23030010</v>
      </c>
      <c r="C27" s="98">
        <v>44995</v>
      </c>
      <c r="D27" s="92" t="s">
        <v>120</v>
      </c>
      <c r="E27" s="97" t="s">
        <v>180</v>
      </c>
      <c r="F27" s="92" t="s">
        <v>42</v>
      </c>
      <c r="G27" s="95" t="str">
        <f>IF(Table1[[#This Row],[h_No. Invoice :]]="","",CONCATENATE("AM"," ",Table1[[#This Row],[h_No. Invoice :]]))</f>
        <v>AM 23030010</v>
      </c>
      <c r="H27" s="96" t="str">
        <f>CONCATENATE(UPPER(Table1[[#This Row],[h_Kode Sales :_1]])," ",Table1[[#This Row],[h_Kode Sales :_2]])</f>
        <v>KO 1224</v>
      </c>
      <c r="I27" s="95" t="str">
        <f>IF(Table1[[#This Row],[h_toko]]="","",INDEX(Table2[e],IF(Table1[[#This Row],[h_toko]]="","",MATCH(Table1[[#This Row],[h_toko]],Table2[a],0)),))</f>
        <v>CV TRINITY CENTRAAL PURWOKERTO</v>
      </c>
      <c r="J27" s="92">
        <v>48</v>
      </c>
      <c r="K27" s="92" t="s">
        <v>122</v>
      </c>
      <c r="M27" s="92" t="s">
        <v>181</v>
      </c>
      <c r="N27" s="196" t="str">
        <f>IF(Table1[[#This Row],[h_Item Description]]="","",INDEX([1]!db[NB PAJAK],MATCH(Table1[[#This Row],[h_Item Description]],[1]!db[kode],0)))</f>
        <v>GEL PEN KENKO EASY GEL</v>
      </c>
      <c r="O27" s="92" t="s">
        <v>182</v>
      </c>
      <c r="P27" s="93">
        <v>26100</v>
      </c>
      <c r="Q27" s="94">
        <v>0.13</v>
      </c>
      <c r="S27" s="199">
        <f>Table1[[#This Row],[h_hargasetelahdiskon]]</f>
        <v>1089936</v>
      </c>
      <c r="T27" s="93" t="s">
        <v>125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</v>
      </c>
      <c r="X27" s="93">
        <f>IF(Table1[Item Description]="","",Table1[[#This Row],[Qty]]*Table1[[#This Row],[Unit Price]])</f>
        <v>1252800</v>
      </c>
      <c r="Y27" s="93">
        <f>IF(Table1[Item Description]="","",Table1[[#This Row],[h_hargasebelumdiskon]]*Table1[[#This Row],[Disc 1]])</f>
        <v>162864</v>
      </c>
      <c r="Z27" s="93">
        <f>IF(Table1[Item Description]="","",Table1[[#This Row],[h_hargasebelumdiskon]]-Table1[[#This Row],[h_diskon]])</f>
        <v>1089936</v>
      </c>
      <c r="AA27" s="93">
        <f ca="1">IF(Table1[//]="","",SUMIF(Table1[h_id],Table1[h_id],Table1[h_hargasetelahdiskon]))</f>
        <v>1089936</v>
      </c>
      <c r="AB27" s="93"/>
      <c r="AC27" s="93" t="str">
        <f>Table1[[#This Row],[Item Description]]&amp;Table1[[#This Row],[Unit]]&amp;Table1[[#This Row],[Unit Price]]</f>
        <v>GEL PEN KENKO EASY GELLSN26100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N28" s="196" t="str">
        <f>IF(Table1[[#This Row],[h_Item Description]]="","",INDEX([1]!db[NB PAJAK],MATCH(Table1[[#This Row],[h_Item Description]],[1]!db[kode],0)))</f>
        <v/>
      </c>
      <c r="P28" s="93"/>
      <c r="Q28" s="94"/>
      <c r="S28" s="199" t="str">
        <f>Table1[[#This Row],[h_hargasetelahdiskon]]</f>
        <v/>
      </c>
      <c r="V28" s="95" t="str">
        <f ca="1">IF(Table1[[#This Row],[Item Description]]="","",IF(Table1[[#This Row],[//]]="",INDIRECT(ADDRESS(ROW()-1,COLUMN())),Table1[[#This Row],[//]]))</f>
        <v/>
      </c>
      <c r="W28" s="95" t="str">
        <f ca="1">IF(Table1[[#This Row],[h_id]]="","",COUNTIF(Table1[h_id],Table1[[#This Row],[h_id]]))</f>
        <v/>
      </c>
      <c r="X28" s="93" t="str">
        <f>IF(Table1[Item Description]="","",Table1[[#This Row],[Qty]]*Table1[[#This Row],[Unit Price]])</f>
        <v/>
      </c>
      <c r="Y28" s="93" t="str">
        <f>IF(Table1[Item Description]="","",Table1[[#This Row],[h_hargasebelumdiskon]]*Table1[[#This Row],[Disc 1]])</f>
        <v/>
      </c>
      <c r="Z28" s="93" t="str">
        <f>IF(Table1[Item Description]="","",Table1[[#This Row],[h_hargasebelumdiskon]]-Table1[[#This Row],[h_diskon]])</f>
        <v/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/>
      </c>
    </row>
    <row r="29" spans="1:29" x14ac:dyDescent="0.25">
      <c r="A29" s="95">
        <f>IF(Table1[No. Invoice :]="","",ROW())</f>
        <v>29</v>
      </c>
      <c r="B29" s="196">
        <f>IF(Table1[h_Kode Sales :_1]="","",B$1+COUNT(B$2:B28))</f>
        <v>23030011</v>
      </c>
      <c r="C29" s="98">
        <v>44996</v>
      </c>
      <c r="D29" s="92" t="s">
        <v>132</v>
      </c>
      <c r="E29" s="97" t="s">
        <v>185</v>
      </c>
      <c r="F29" s="92" t="s">
        <v>98</v>
      </c>
      <c r="G29" s="95" t="str">
        <f>IF(Table1[[#This Row],[h_No. Invoice :]]="","",CONCATENATE("AM"," ",Table1[[#This Row],[h_No. Invoice :]]))</f>
        <v>AM 23030011</v>
      </c>
      <c r="H29" s="96" t="str">
        <f>CONCATENATE(UPPER(Table1[[#This Row],[h_Kode Sales :_1]])," ",Table1[[#This Row],[h_Kode Sales :_2]])</f>
        <v>G 2966</v>
      </c>
      <c r="I29" s="95" t="str">
        <f>IF(Table1[[#This Row],[h_toko]]="","",INDEX(Table2[e],IF(Table1[[#This Row],[h_toko]]="","",MATCH(Table1[[#This Row],[h_toko]],Table2[a],0)),))</f>
        <v>CV UTAMA PUTRA TULUNG AGUNG</v>
      </c>
      <c r="J29" s="92">
        <v>35</v>
      </c>
      <c r="K29" s="92" t="s">
        <v>122</v>
      </c>
      <c r="M29" s="92" t="s">
        <v>186</v>
      </c>
      <c r="N29" s="196" t="str">
        <f>IF(Table1[[#This Row],[h_Item Description]]="","",INDEX([1]!db[NB PAJAK],MATCH(Table1[[#This Row],[h_Item Description]],[1]!db[kode],0)))</f>
        <v>GEL PEN KENKO HI-TECH-H 0.28 MM FUN COLOR BIRU</v>
      </c>
      <c r="O29" s="92" t="s">
        <v>187</v>
      </c>
      <c r="P29" s="93">
        <v>39000</v>
      </c>
      <c r="Q29" s="94">
        <v>0.125</v>
      </c>
      <c r="S29" s="199">
        <f>Table1[[#This Row],[h_hargasetelahdiskon]]</f>
        <v>1194375</v>
      </c>
      <c r="T29" s="93" t="s">
        <v>125</v>
      </c>
      <c r="V29" s="95">
        <f ca="1">IF(Table1[[#This Row],[Item Description]]="","",IF(Table1[[#This Row],[//]]="",INDIRECT(ADDRESS(ROW()-1,COLUMN())),Table1[[#This Row],[//]]))</f>
        <v>29</v>
      </c>
      <c r="W29" s="95">
        <f ca="1">IF(Table1[[#This Row],[h_id]]="","",COUNTIF(Table1[h_id],Table1[[#This Row],[h_id]]))</f>
        <v>1</v>
      </c>
      <c r="X29" s="93">
        <f>IF(Table1[Item Description]="","",Table1[[#This Row],[Qty]]*Table1[[#This Row],[Unit Price]])</f>
        <v>1365000</v>
      </c>
      <c r="Y29" s="93">
        <f>IF(Table1[Item Description]="","",Table1[[#This Row],[h_hargasebelumdiskon]]*Table1[[#This Row],[Disc 1]])</f>
        <v>170625</v>
      </c>
      <c r="Z29" s="93">
        <f>IF(Table1[Item Description]="","",Table1[[#This Row],[h_hargasebelumdiskon]]-Table1[[#This Row],[h_diskon]])</f>
        <v>1194375</v>
      </c>
      <c r="AA29" s="93">
        <f ca="1">IF(Table1[//]="","",SUMIF(Table1[h_id],Table1[h_id],Table1[h_hargasetelahdiskon]))</f>
        <v>1194375</v>
      </c>
      <c r="AB29" s="93"/>
      <c r="AC29" s="93" t="str">
        <f>Table1[[#This Row],[Item Description]]&amp;Table1[[#This Row],[Unit]]&amp;Table1[[#This Row],[Unit Price]]</f>
        <v>GEL PEN KENKO HI-TECH-H 0.28 MM FUN COLOR BIRULSN39000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 ca="1">IF(Table1[[#This Row],[Item Description]]="","",IF(Table1[[#This Row],[//]]="",INDIRECT(ADDRESS(ROW()-1,COLUMN())),Table1[[#This Row],[//]]))</f>
        <v/>
      </c>
      <c r="W31" s="95" t="str">
        <f ca="1"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 t="str">
        <f>IF(Table1[No. Invoice :]="","",ROW())</f>
        <v/>
      </c>
      <c r="B32" s="196" t="str">
        <f>IF(Table1[h_Kode Sales :_1]="","",B$1+COUNT(B$2:B31))</f>
        <v/>
      </c>
      <c r="D32" s="197"/>
      <c r="E32" s="198"/>
      <c r="F32" s="197"/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M32" s="197"/>
      <c r="N32" s="196" t="str">
        <f>IF(Table1[[#This Row],[h_Item Description]]="","",INDEX([1]!db[NB PAJAK],MATCH(Table1[[#This Row],[h_Item Description]],[1]!db[kode],0)))</f>
        <v/>
      </c>
      <c r="P32" s="93"/>
      <c r="Q32" s="94"/>
      <c r="S32" s="199" t="str">
        <f>Table1[[#This Row],[h_hargasetelahdiskon]]</f>
        <v/>
      </c>
      <c r="V32" s="95" t="str">
        <f ca="1">IF(Table1[[#This Row],[Item Description]]="","",IF(Table1[[#This Row],[//]]="",INDIRECT(ADDRESS(ROW()-1,COLUMN())),Table1[[#This Row],[//]]))</f>
        <v/>
      </c>
      <c r="W32" s="95" t="str">
        <f ca="1"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M33" s="197"/>
      <c r="N33" s="196" t="str">
        <f>IF(Table1[[#This Row],[h_Item Description]]="","",INDEX([1]!db[NB PAJAK],MATCH(Table1[[#This Row],[h_Item Description]],[1]!db[kode],0)))</f>
        <v/>
      </c>
      <c r="P33" s="93"/>
      <c r="Q33" s="94"/>
      <c r="S33" s="199" t="str">
        <f>Table1[[#This Row],[h_hargasetelahdiskon]]</f>
        <v/>
      </c>
      <c r="V33" s="95" t="str">
        <f ca="1">IF(Table1[[#This Row],[Item Description]]="","",IF(Table1[[#This Row],[//]]="",INDIRECT(ADDRESS(ROW()-1,COLUMN())),Table1[[#This Row],[//]]))</f>
        <v/>
      </c>
      <c r="W33" s="95" t="str">
        <f ca="1">IF(Table1[[#This Row],[h_id]]="","",COUNTIF(Table1[h_id],Table1[[#This Row],[h_id]]))</f>
        <v/>
      </c>
      <c r="X33" s="93" t="str">
        <f>IF(Table1[Item Description]="","",Table1[[#This Row],[Qty]]*Table1[[#This Row],[Unit Price]])</f>
        <v/>
      </c>
      <c r="Y33" s="93" t="str">
        <f>IF(Table1[Item Description]="","",Table1[[#This Row],[h_hargasebelumdiskon]]*Table1[[#This Row],[Disc 1]])</f>
        <v/>
      </c>
      <c r="Z33" s="93" t="str">
        <f>IF(Table1[Item Description]="","",Table1[[#This Row],[h_hargasebelumdiskon]]-Table1[[#This Row],[h_diskon]])</f>
        <v/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/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 ca="1">IF(Table1[[#This Row],[Item Description]]="","",IF(Table1[[#This Row],[//]]="",INDIRECT(ADDRESS(ROW()-1,COLUMN())),Table1[[#This Row],[//]]))</f>
        <v/>
      </c>
      <c r="W34" s="95" t="str">
        <f ca="1"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IF(Table1[Item Description]="","",Table1[[#This Row],[h_hargasebelumdiskon]]*Table1[[#This Row],[Disc 1]])</f>
        <v/>
      </c>
      <c r="Z34" s="93" t="str">
        <f>IF(Table1[Item Description]="","",Table1[[#This Row],[h_hargasebelumdiskon]]-Table1[[#This Row],[h_diskon]])</f>
        <v/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/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N35" s="196" t="str">
        <f>IF(Table1[[#This Row],[h_Item Description]]="","",INDEX([1]!db[NB PAJAK],MATCH(Table1[[#This Row],[h_Item Description]],[1]!db[kode],0)))</f>
        <v/>
      </c>
      <c r="P35" s="93"/>
      <c r="Q35" s="94"/>
      <c r="S35" s="199" t="str">
        <f>Table1[[#This Row],[h_hargasetelahdiskon]]</f>
        <v/>
      </c>
      <c r="V35" s="95" t="str">
        <f ca="1">IF(Table1[[#This Row],[Item Description]]="","",IF(Table1[[#This Row],[//]]="",INDIRECT(ADDRESS(ROW()-1,COLUMN())),Table1[[#This Row],[//]]))</f>
        <v/>
      </c>
      <c r="W35" s="95" t="str">
        <f ca="1">IF(Table1[[#This Row],[h_id]]="","",COUNTIF(Table1[h_id],Table1[[#This Row],[h_id]]))</f>
        <v/>
      </c>
      <c r="X35" s="93" t="str">
        <f>IF(Table1[Item Description]="","",Table1[[#This Row],[Qty]]*Table1[[#This Row],[Unit Price]])</f>
        <v/>
      </c>
      <c r="Y35" s="93" t="str">
        <f>IF(Table1[Item Description]="","",Table1[[#This Row],[h_hargasebelumdiskon]]*Table1[[#This Row],[Disc 1]])</f>
        <v/>
      </c>
      <c r="Z35" s="93" t="str">
        <f>IF(Table1[Item Description]="","",Table1[[#This Row],[h_hargasebelumdiskon]]-Table1[[#This Row],[h_diskon]])</f>
        <v/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/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 ca="1">IF(Table1[[#This Row],[Item Description]]="","",IF(Table1[[#This Row],[//]]="",INDIRECT(ADDRESS(ROW()-1,COLUMN())),Table1[[#This Row],[//]]))</f>
        <v/>
      </c>
      <c r="W36" s="95" t="str">
        <f ca="1"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IF(Table1[Item Description]="","",Table1[[#This Row],[h_hargasebelumdiskon]]*Table1[[#This Row],[Disc 1]])</f>
        <v/>
      </c>
      <c r="Z36" s="93" t="str">
        <f>IF(Table1[Item Description]="","",Table1[[#This Row],[h_hargasebelumdiskon]]-Table1[[#This Row],[h_diskon]])</f>
        <v/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/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196" t="str">
        <f>IF(Table1[[#This Row],[h_Item Description]]="","",INDEX([1]!db[NB PAJAK],MATCH(Table1[[#This Row],[h_Item Description]],[1]!db[kode],0)))</f>
        <v/>
      </c>
      <c r="P37" s="93"/>
      <c r="Q37" s="94"/>
      <c r="S37" s="199" t="str">
        <f>Table1[[#This Row],[h_hargasetelahdiskon]]</f>
        <v/>
      </c>
      <c r="V37" s="95" t="str">
        <f ca="1">IF(Table1[[#This Row],[Item Description]]="","",IF(Table1[[#This Row],[//]]="",INDIRECT(ADDRESS(ROW()-1,COLUMN())),Table1[[#This Row],[//]]))</f>
        <v/>
      </c>
      <c r="W37" s="95" t="str">
        <f ca="1"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/>
      <c r="N38" s="196" t="str">
        <f>IF(Table1[[#This Row],[h_Item Description]]="","",INDEX([1]!db[NB PAJAK],MATCH(Table1[[#This Row],[h_Item Description]],[1]!db[kode],0)))</f>
        <v/>
      </c>
      <c r="P38" s="93"/>
      <c r="Q38" s="94"/>
      <c r="S38" s="199" t="str">
        <f>Table1[[#This Row],[h_hargasetelahdiskon]]</f>
        <v/>
      </c>
      <c r="V38" s="95" t="str">
        <f ca="1">IF(Table1[[#This Row],[Item Description]]="","",IF(Table1[[#This Row],[//]]="",INDIRECT(ADDRESS(ROW()-1,COLUMN())),Table1[[#This Row],[//]]))</f>
        <v/>
      </c>
      <c r="W38" s="95" t="str">
        <f ca="1">IF(Table1[[#This Row],[h_id]]="","",COUNTIF(Table1[h_id],Table1[[#This Row],[h_id]]))</f>
        <v/>
      </c>
      <c r="X38" s="93" t="str">
        <f>IF(Table1[Item Description]="","",Table1[[#This Row],[Qty]]*Table1[[#This Row],[Unit Price]])</f>
        <v/>
      </c>
      <c r="Y38" s="93" t="str">
        <f>IF(Table1[Item Description]="","",Table1[[#This Row],[h_hargasebelumdiskon]]*Table1[[#This Row],[Disc 1]])</f>
        <v/>
      </c>
      <c r="Z38" s="93" t="str">
        <f>IF(Table1[Item Description]="","",Table1[[#This Row],[h_hargasebelumdiskon]]-Table1[[#This Row],[h_diskon]])</f>
        <v/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/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198"/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N39" s="196" t="str">
        <f>IF(Table1[[#This Row],[h_Item Description]]="","",INDEX([1]!db[NB PAJAK],MATCH(Table1[[#This Row],[h_Item Description]],[1]!db[kode],0)))</f>
        <v/>
      </c>
      <c r="P39" s="93"/>
      <c r="Q39" s="94"/>
      <c r="S39" s="199" t="str">
        <f>Table1[[#This Row],[h_hargasetelahdiskon]]</f>
        <v/>
      </c>
      <c r="V39" s="95" t="str">
        <f ca="1">IF(Table1[[#This Row],[Item Description]]="","",IF(Table1[[#This Row],[//]]="",INDIRECT(ADDRESS(ROW()-1,COLUMN())),Table1[[#This Row],[//]]))</f>
        <v/>
      </c>
      <c r="W39" s="95" t="str">
        <f ca="1">IF(Table1[[#This Row],[h_id]]="","",COUNTIF(Table1[h_id],Table1[[#This Row],[h_id]]))</f>
        <v/>
      </c>
      <c r="X39" s="93" t="str">
        <f>IF(Table1[Item Description]="","",Table1[[#This Row],[Qty]]*Table1[[#This Row],[Unit Price]])</f>
        <v/>
      </c>
      <c r="Y39" s="93" t="str">
        <f>IF(Table1[Item Description]="","",Table1[[#This Row],[h_hargasebelumdiskon]]*Table1[[#This Row],[Disc 1]])</f>
        <v/>
      </c>
      <c r="Z39" s="93" t="str">
        <f>IF(Table1[Item Description]="","",Table1[[#This Row],[h_hargasebelumdiskon]]-Table1[[#This Row],[h_diskon]])</f>
        <v/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/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95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 t="str">
        <f>IF(Table1[No. Invoice :]="","",ROW())</f>
        <v/>
      </c>
      <c r="B41" s="196" t="str">
        <f>IF(Table1[h_Kode Sales :_1]="","",B$1+COUNT(B$2:B40))</f>
        <v/>
      </c>
      <c r="D41" s="197"/>
      <c r="E41" s="198"/>
      <c r="F41" s="197"/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M41" s="197"/>
      <c r="N41" s="196" t="str">
        <f>IF(Table1[[#This Row],[h_Item Description]]="","",INDEX([1]!db[NB PAJAK],MATCH(Table1[[#This Row],[h_Item Description]],[1]!db[kode],0)))</f>
        <v/>
      </c>
      <c r="P41" s="93"/>
      <c r="Q41" s="94"/>
      <c r="S41" s="199" t="str">
        <f>Table1[[#This Row],[h_hargasetelahdiskon]]</f>
        <v/>
      </c>
      <c r="V41" s="95" t="str">
        <f ca="1">IF(Table1[[#This Row],[Item Description]]="","",IF(Table1[[#This Row],[//]]="",INDIRECT(ADDRESS(ROW()-1,COLUMN())),Table1[[#This Row],[//]]))</f>
        <v/>
      </c>
      <c r="W41" s="95" t="str">
        <f ca="1">IF(Table1[[#This Row],[h_id]]="","",COUNTIF(Table1[h_id],Table1[[#This Row],[h_id]]))</f>
        <v/>
      </c>
      <c r="X41" s="93" t="str">
        <f>IF(Table1[Item Description]="","",Table1[[#This Row],[Qty]]*Table1[[#This Row],[Unit Price]])</f>
        <v/>
      </c>
      <c r="Y41" s="93" t="str">
        <f>IF(Table1[Item Description]="","",Table1[[#This Row],[h_hargasebelumdiskon]]*Table1[[#This Row],[Disc 1]])</f>
        <v/>
      </c>
      <c r="Z41" s="93" t="str">
        <f>IF(Table1[Item Description]="","",Table1[[#This Row],[h_hargasebelumdiskon]]-Table1[[#This Row],[h_diskon]])</f>
        <v/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/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IF(Table1[Item Description]="","",Table1[[#This Row],[h_hargasebelumdiskon]]*Table1[[#This Row],[Disc 1]])</f>
        <v/>
      </c>
      <c r="Z42" s="93" t="str">
        <f>IF(Table1[Item Description]="","",Table1[[#This Row],[h_hargasebelumdiskon]]-Table1[[#This Row],[h_diskon]])</f>
        <v/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/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N43" s="196" t="str">
        <f>IF(Table1[[#This Row],[h_Item Description]]="","",INDEX([1]!db[NB PAJAK],MATCH(Table1[[#This Row],[h_Item Description]],[1]!db[kode],0)))</f>
        <v/>
      </c>
      <c r="P43" s="93"/>
      <c r="Q43" s="94"/>
      <c r="S43" s="199" t="str">
        <f>Table1[[#This Row],[h_hargasetelahdiskon]]</f>
        <v/>
      </c>
      <c r="V43" s="95" t="str">
        <f ca="1">IF(Table1[[#This Row],[Item Description]]="","",IF(Table1[[#This Row],[//]]="",INDIRECT(ADDRESS(ROW()-1,COLUMN())),Table1[[#This Row],[//]]))</f>
        <v/>
      </c>
      <c r="W43" s="95" t="str">
        <f ca="1">IF(Table1[[#This Row],[h_id]]="","",COUNTIF(Table1[h_id],Table1[[#This Row],[h_id]]))</f>
        <v/>
      </c>
      <c r="X43" s="93" t="str">
        <f>IF(Table1[Item Description]="","",Table1[[#This Row],[Qty]]*Table1[[#This Row],[Unit Price]])</f>
        <v/>
      </c>
      <c r="Y43" s="93" t="str">
        <f>IF(Table1[Item Description]="","",Table1[[#This Row],[h_hargasebelumdiskon]]*Table1[[#This Row],[Disc 1]])</f>
        <v/>
      </c>
      <c r="Z43" s="93" t="str">
        <f>IF(Table1[Item Description]="","",Table1[[#This Row],[h_hargasebelumdiskon]]-Table1[[#This Row],[h_diskon]])</f>
        <v/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/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199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 ca="1">IF(Table1[[#This Row],[Item Description]]="","",IF(Table1[[#This Row],[//]]="",INDIRECT(ADDRESS(ROW()-1,COLUMN())),Table1[[#This Row],[//]]))</f>
        <v/>
      </c>
      <c r="W45" s="95" t="str">
        <f ca="1"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IF(Table1[Item Description]="","",Table1[[#This Row],[h_hargasebelumdiskon]]*Table1[[#This Row],[Disc 1]])</f>
        <v/>
      </c>
      <c r="Z45" s="93" t="str">
        <f>IF(Table1[Item Description]="","",Table1[[#This Row],[h_hargasebelumdiskon]]-Table1[[#This Row],[h_diskon]])</f>
        <v/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/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N46" s="196" t="str">
        <f>IF(Table1[[#This Row],[h_Item Description]]="","",INDEX([1]!db[NB PAJAK],MATCH(Table1[[#This Row],[h_Item Description]],[1]!db[kode],0)))</f>
        <v/>
      </c>
      <c r="P46" s="93"/>
      <c r="Q46" s="94"/>
      <c r="S46" s="199" t="str">
        <f>Table1[[#This Row],[h_hargasetelahdiskon]]</f>
        <v/>
      </c>
      <c r="V46" s="95" t="str">
        <f ca="1">IF(Table1[[#This Row],[Item Description]]="","",IF(Table1[[#This Row],[//]]="",INDIRECT(ADDRESS(ROW()-1,COLUMN())),Table1[[#This Row],[//]]))</f>
        <v/>
      </c>
      <c r="W46" s="95" t="str">
        <f ca="1">IF(Table1[[#This Row],[h_id]]="","",COUNTIF(Table1[h_id],Table1[[#This Row],[h_id]]))</f>
        <v/>
      </c>
      <c r="X46" s="93" t="str">
        <f>IF(Table1[Item Description]="","",Table1[[#This Row],[Qty]]*Table1[[#This Row],[Unit Price]])</f>
        <v/>
      </c>
      <c r="Y46" s="93" t="str">
        <f>IF(Table1[Item Description]="","",Table1[[#This Row],[h_hargasebelumdiskon]]*Table1[[#This Row],[Disc 1]])</f>
        <v/>
      </c>
      <c r="Z46" s="93" t="str">
        <f>IF(Table1[Item Description]="","",Table1[[#This Row],[h_hargasebelumdiskon]]-Table1[[#This Row],[h_diskon]])</f>
        <v/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/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 ca="1">IF(Table1[[#This Row],[Item Description]]="","",IF(Table1[[#This Row],[//]]="",INDIRECT(ADDRESS(ROW()-1,COLUMN())),Table1[[#This Row],[//]]))</f>
        <v/>
      </c>
      <c r="W47" s="95" t="str">
        <f ca="1"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 t="str">
        <f>IF(Table1[No. Invoice :]="","",ROW())</f>
        <v/>
      </c>
      <c r="B48" s="196" t="str">
        <f>IF(Table1[h_Kode Sales :_1]="","",B$1+COUNT(B$2:B47))</f>
        <v/>
      </c>
      <c r="D48" s="197"/>
      <c r="E48" s="198"/>
      <c r="F48" s="197"/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M48" s="197"/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IF(Table1[Item Description]="","",Table1[[#This Row],[h_hargasebelumdiskon]]*Table1[[#This Row],[Disc 1]])</f>
        <v/>
      </c>
      <c r="Z48" s="93" t="str">
        <f>IF(Table1[Item Description]="","",Table1[[#This Row],[h_hargasebelumdiskon]]-Table1[[#This Row],[h_diskon]])</f>
        <v/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/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 t="str">
        <f>IF(Table1[No. Invoice :]="","",ROW())</f>
        <v/>
      </c>
      <c r="B50" s="196" t="str">
        <f>IF(Table1[h_Kode Sales :_1]="","",B$1+COUNT(B$2:B49))</f>
        <v/>
      </c>
      <c r="D50" s="197"/>
      <c r="E50" s="198"/>
      <c r="F50" s="197"/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M50" s="197"/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IF(Table1[Item Description]="","",Table1[[#This Row],[h_hargasebelumdiskon]]*Table1[[#This Row],[Disc 1]])</f>
        <v/>
      </c>
      <c r="Z50" s="93" t="str">
        <f>IF(Table1[Item Description]="","",Table1[[#This Row],[h_hargasebelumdiskon]]-Table1[[#This Row],[h_diskon]])</f>
        <v/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/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 t="str">
        <f>IF(Table1[No. Invoice :]="","",ROW())</f>
        <v/>
      </c>
      <c r="B52" s="196" t="str">
        <f>IF(Table1[h_Kode Sales :_1]="","",B$1+COUNT(B$2:B51))</f>
        <v/>
      </c>
      <c r="D52" s="197"/>
      <c r="E52" s="198"/>
      <c r="F52" s="197"/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M52" s="197"/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 t="str">
        <f>IF(Table1[No. Invoice :]="","",ROW())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M54" s="197"/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IF(Table1[Item Description]="","",Table1[[#This Row],[h_hargasebelumdiskon]]*Table1[[#This Row],[Disc 1]])</f>
        <v/>
      </c>
      <c r="Z54" s="93" t="str">
        <f>IF(Table1[Item Description]="","",Table1[[#This Row],[h_hargasebelumdiskon]]-Table1[[#This Row],[h_diskon]])</f>
        <v/>
      </c>
      <c r="AA54" s="93" t="str">
        <f>IF(Table1[//]="","",SUMIF(Table1[h_id],Table1[h_id],Table1[h_hargasetelahdiskon]))</f>
        <v/>
      </c>
      <c r="AB54" s="93"/>
      <c r="AC54" s="93" t="str">
        <f>Table1[[#This Row],[Item Description]]&amp;Table1[[#This Row],[Unit]]&amp;Table1[[#This Row],[Unit Price]]</f>
        <v/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 t="str">
        <f>IF(Table1[No. Invoice :]="","",ROW())</f>
        <v/>
      </c>
      <c r="B56" s="196" t="str">
        <f>IF(Table1[h_Kode Sales :_1]="","",B$1+COUNT(B$2:B55))</f>
        <v/>
      </c>
      <c r="D56" s="197"/>
      <c r="E56" s="198"/>
      <c r="F56" s="197"/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M56" s="197"/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IF(Table1[Item Description]="","",Table1[[#This Row],[h_hargasebelumdiskon]]*Table1[[#This Row],[Disc 1]])</f>
        <v/>
      </c>
      <c r="Z56" s="93" t="str">
        <f>IF(Table1[Item Description]="","",Table1[[#This Row],[h_hargasebelumdiskon]]-Table1[[#This Row],[h_diskon]])</f>
        <v/>
      </c>
      <c r="AA56" s="93" t="str">
        <f>IF(Table1[//]="","",SUMIF(Table1[h_id],Table1[h_id],Table1[h_hargasetelahdiskon]))</f>
        <v/>
      </c>
      <c r="AB56" s="93"/>
      <c r="AC56" s="93" t="str">
        <f>Table1[[#This Row],[Item Description]]&amp;Table1[[#This Row],[Unit]]&amp;Table1[[#This Row],[Unit Price]]</f>
        <v/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 t="str">
        <f>IF(Table1[No. Invoice :]="","",ROW())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M58" s="197"/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IF(Table1[Item Description]="","",Table1[[#This Row],[h_hargasebelumdiskon]]*Table1[[#This Row],[Disc 1]])</f>
        <v/>
      </c>
      <c r="Z58" s="93" t="str">
        <f>IF(Table1[Item Description]="","",Table1[[#This Row],[h_hargasebelumdiskon]]-Table1[[#This Row],[h_diskon]])</f>
        <v/>
      </c>
      <c r="AA58" s="93" t="str">
        <f>IF(Table1[//]="","",SUMIF(Table1[h_id],Table1[h_id],Table1[h_hargasetelahdiskon]))</f>
        <v/>
      </c>
      <c r="AB58" s="93"/>
      <c r="AC58" s="93" t="str">
        <f>Table1[[#This Row],[Item Description]]&amp;Table1[[#This Row],[Unit]]&amp;Table1[[#This Row],[Unit Price]]</f>
        <v/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 t="str">
        <f>IF(Table1[No. Invoice :]="","",ROW())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M60" s="197"/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IF(Table1[Item Description]="","",Table1[[#This Row],[h_hargasebelumdiskon]]*Table1[[#This Row],[Disc 1]])</f>
        <v/>
      </c>
      <c r="Z60" s="93" t="str">
        <f>IF(Table1[Item Description]="","",Table1[[#This Row],[h_hargasebelumdiskon]]-Table1[[#This Row],[h_diskon]])</f>
        <v/>
      </c>
      <c r="AA60" s="93" t="str">
        <f>IF(Table1[//]="","",SUMIF(Table1[h_id],Table1[h_id],Table1[h_hargasetelahdiskon]))</f>
        <v/>
      </c>
      <c r="AB60" s="93"/>
      <c r="AC60" s="93" t="str">
        <f>Table1[[#This Row],[Item Description]]&amp;Table1[[#This Row],[Unit]]&amp;Table1[[#This Row],[Unit Price]]</f>
        <v/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 ca="1">IF(Table1[[#This Row],[Item Description]]="","",IF(Table1[[#This Row],[//]]="",INDIRECT(ADDRESS(ROW()-1,COLUMN())),Table1[[#This Row],[//]]))</f>
        <v/>
      </c>
      <c r="W61" s="95" t="str">
        <f ca="1"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IF(Table1[Item Description]="","",Table1[[#This Row],[h_hargasebelumdiskon]]*Table1[[#This Row],[Disc 1]])</f>
        <v/>
      </c>
      <c r="Z61" s="93" t="str">
        <f>IF(Table1[Item Description]="","",Table1[[#This Row],[h_hargasebelumdiskon]]-Table1[[#This Row],[h_diskon]])</f>
        <v/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/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IF(Table1[Item Description]="","",Table1[[#This Row],[h_hargasebelumdiskon]]*Table1[[#This Row],[Disc 1]])</f>
        <v/>
      </c>
      <c r="Z62" s="93" t="str">
        <f>IF(Table1[Item Description]="","",Table1[[#This Row],[h_hargasebelumdiskon]]-Table1[[#This Row],[h_diskon]])</f>
        <v/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/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M63" s="197"/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IF(Table1[Item Description]="","",Table1[[#This Row],[h_hargasebelumdiskon]]*Table1[[#This Row],[Disc 1]])</f>
        <v/>
      </c>
      <c r="Z63" s="93" t="str">
        <f>IF(Table1[Item Description]="","",Table1[[#This Row],[h_hargasebelumdiskon]]-Table1[[#This Row],[h_diskon]])</f>
        <v/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/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IF(Table1[Item Description]="","",Table1[[#This Row],[h_hargasebelumdiskon]]*Table1[[#This Row],[Disc 1]])</f>
        <v/>
      </c>
      <c r="Z64" s="93" t="str">
        <f>IF(Table1[Item Description]="","",Table1[[#This Row],[h_hargasebelumdiskon]]-Table1[[#This Row],[h_diskon]])</f>
        <v/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/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N65" s="95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IF(Table1[Item Description]="","",Table1[[#This Row],[h_hargasebelumdiskon]]*Table1[[#This Row],[Disc 1]])</f>
        <v/>
      </c>
      <c r="Z65" s="93" t="str">
        <f>IF(Table1[Item Description]="","",Table1[[#This Row],[h_hargasebelumdiskon]]-Table1[[#This Row],[h_diskon]])</f>
        <v/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/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196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 ca="1">IF(Table1[[#This Row],[Item Description]]="","",IF(Table1[[#This Row],[//]]="",INDIRECT(ADDRESS(ROW()-1,COLUMN())),Table1[[#This Row],[//]]))</f>
        <v/>
      </c>
      <c r="W66" s="95" t="str">
        <f ca="1"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IF(Table1[Item Description]="","",Table1[[#This Row],[h_hargasebelumdiskon]]*Table1[[#This Row],[Disc 1]])</f>
        <v/>
      </c>
      <c r="Z67" s="93" t="str">
        <f>IF(Table1[Item Description]="","",Table1[[#This Row],[h_hargasebelumdiskon]]-Table1[[#This Row],[h_diskon]])</f>
        <v/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/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IF(Table1[Item Description]="","",Table1[[#This Row],[h_hargasebelumdiskon]]*Table1[[#This Row],[Disc 1]])</f>
        <v/>
      </c>
      <c r="Z69" s="93" t="str">
        <f>IF(Table1[Item Description]="","",Table1[[#This Row],[h_hargasebelumdiskon]]-Table1[[#This Row],[h_diskon]])</f>
        <v/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/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 t="str">
        <f>IF(Table1[No. Invoice :]="","",ROW())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M71" s="197"/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IF(Table1[Item Description]="","",Table1[[#This Row],[h_hargasebelumdiskon]]*Table1[[#This Row],[Disc 1]])</f>
        <v/>
      </c>
      <c r="Z71" s="93" t="str">
        <f>IF(Table1[Item Description]="","",Table1[[#This Row],[h_hargasebelumdiskon]]-Table1[[#This Row],[h_diskon]])</f>
        <v/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/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IF(Table1[Item Description]="","",Table1[[#This Row],[h_hargasebelumdiskon]]*Table1[[#This Row],[Disc 1]])</f>
        <v/>
      </c>
      <c r="Z72" s="93" t="str">
        <f>IF(Table1[Item Description]="","",Table1[[#This Row],[h_hargasebelumdiskon]]-Table1[[#This Row],[h_diskon]])</f>
        <v/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/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IF(Table1[Item Description]="","",Table1[[#This Row],[h_hargasebelumdiskon]]*Table1[[#This Row],[Disc 1]])</f>
        <v/>
      </c>
      <c r="Z73" s="93" t="str">
        <f>IF(Table1[Item Description]="","",Table1[[#This Row],[h_hargasebelumdiskon]]-Table1[[#This Row],[h_diskon]])</f>
        <v/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/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IF(Table1[Item Description]="","",Table1[[#This Row],[h_hargasebelumdiskon]]*Table1[[#This Row],[Disc 1]])</f>
        <v/>
      </c>
      <c r="Z74" s="93" t="str">
        <f>IF(Table1[Item Description]="","",Table1[[#This Row],[h_hargasebelumdiskon]]-Table1[[#This Row],[h_diskon]])</f>
        <v/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/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IF(Table1[Item Description]="","",Table1[[#This Row],[h_hargasebelumdiskon]]*Table1[[#This Row],[Disc 1]])</f>
        <v/>
      </c>
      <c r="Z76" s="93" t="str">
        <f>IF(Table1[Item Description]="","",Table1[[#This Row],[h_hargasebelumdiskon]]-Table1[[#This Row],[h_diskon]])</f>
        <v/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/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M78" s="197"/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IF(Table1[Item Description]="","",Table1[[#This Row],[h_hargasebelumdiskon]]*Table1[[#This Row],[Disc 1]])</f>
        <v/>
      </c>
      <c r="Z78" s="93" t="str">
        <f>IF(Table1[Item Description]="","",Table1[[#This Row],[h_hargasebelumdiskon]]-Table1[[#This Row],[h_diskon]])</f>
        <v/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/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IF(Table1[Item Description]="","",Table1[[#This Row],[h_hargasebelumdiskon]]*Table1[[#This Row],[Disc 1]])</f>
        <v/>
      </c>
      <c r="Z79" s="93" t="str">
        <f>IF(Table1[Item Description]="","",Table1[[#This Row],[h_hargasebelumdiskon]]-Table1[[#This Row],[h_diskon]])</f>
        <v/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/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 t="str">
        <f>IF(Table1[No. Invoice :]="","",ROW())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M81" s="197"/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IF(Table1[Item Description]="","",Table1[[#This Row],[h_hargasebelumdiskon]]*Table1[[#This Row],[Disc 1]])</f>
        <v/>
      </c>
      <c r="Z81" s="93" t="str">
        <f>IF(Table1[Item Description]="","",Table1[[#This Row],[h_hargasebelumdiskon]]-Table1[[#This Row],[h_diskon]])</f>
        <v/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/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 t="str">
        <f>IF(Table1[No. Invoice :]="","",ROW())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M84" s="197"/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IF(Table1[Item Description]="","",Table1[[#This Row],[h_hargasebelumdiskon]]*Table1[[#This Row],[Disc 1]])</f>
        <v/>
      </c>
      <c r="Z84" s="93" t="str">
        <f>IF(Table1[Item Description]="","",Table1[[#This Row],[h_hargasebelumdiskon]]-Table1[[#This Row],[h_diskon]])</f>
        <v/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/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IF(Table1[Item Description]="","",Table1[[#This Row],[h_hargasebelumdiskon]]*Table1[[#This Row],[Disc 1]])</f>
        <v/>
      </c>
      <c r="Z85" s="93" t="str">
        <f>IF(Table1[Item Description]="","",Table1[[#This Row],[h_hargasebelumdiskon]]-Table1[[#This Row],[h_diskon]])</f>
        <v/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/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 t="str">
        <f>IF(Table1[No. Invoice :]="","",ROW())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M87" s="197"/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IF(Table1[Item Description]="","",Table1[[#This Row],[h_hargasebelumdiskon]]*Table1[[#This Row],[Disc 1]])</f>
        <v/>
      </c>
      <c r="Z87" s="93" t="str">
        <f>IF(Table1[Item Description]="","",Table1[[#This Row],[h_hargasebelumdiskon]]-Table1[[#This Row],[h_diskon]])</f>
        <v/>
      </c>
      <c r="AA87" s="93" t="str">
        <f>IF(Table1[//]="","",SUMIF(Table1[h_id],Table1[h_id],Table1[h_hargasetelahdiskon]))</f>
        <v/>
      </c>
      <c r="AB87" s="93"/>
      <c r="AC87" s="93" t="str">
        <f>Table1[[#This Row],[Item Description]]&amp;Table1[[#This Row],[Unit]]&amp;Table1[[#This Row],[Unit Price]]</f>
        <v/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 t="str">
        <f>IF(Table1[No. Invoice :]="","",ROW())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IF(Table1[Item Description]="","",Table1[[#This Row],[h_hargasebelumdiskon]]*Table1[[#This Row],[Disc 1]])</f>
        <v/>
      </c>
      <c r="Z89" s="93" t="str">
        <f>IF(Table1[Item Description]="","",Table1[[#This Row],[h_hargasebelumdiskon]]-Table1[[#This Row],[h_diskon]])</f>
        <v/>
      </c>
      <c r="AA89" s="93" t="str">
        <f>IF(Table1[//]="","",SUMIF(Table1[h_id],Table1[h_id],Table1[h_hargasetelahdiskon]))</f>
        <v/>
      </c>
      <c r="AB89" s="93"/>
      <c r="AC89" s="93" t="str">
        <f>Table1[[#This Row],[Item Description]]&amp;Table1[[#This Row],[Unit]]&amp;Table1[[#This Row],[Unit Price]]</f>
        <v/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IF(Table1[Item Description]="","",Table1[[#This Row],[h_hargasebelumdiskon]]*Table1[[#This Row],[Disc 1]])</f>
        <v/>
      </c>
      <c r="Z90" s="93" t="str">
        <f>IF(Table1[Item Description]="","",Table1[[#This Row],[h_hargasebelumdiskon]]-Table1[[#This Row],[h_diskon]])</f>
        <v/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/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IF(Table1[Item Description]="","",Table1[[#This Row],[h_hargasebelumdiskon]]*Table1[[#This Row],[Disc 1]])</f>
        <v/>
      </c>
      <c r="Z91" s="93" t="str">
        <f>IF(Table1[Item Description]="","",Table1[[#This Row],[h_hargasebelumdiskon]]-Table1[[#This Row],[h_diskon]])</f>
        <v/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/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 t="str">
        <f>IF(Table1[No. Invoice :]="","",ROW())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M93" s="197"/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IF(Table1[Item Description]="","",Table1[[#This Row],[h_hargasebelumdiskon]]*Table1[[#This Row],[Disc 1]])</f>
        <v/>
      </c>
      <c r="Z93" s="93" t="str">
        <f>IF(Table1[Item Description]="","",Table1[[#This Row],[h_hargasebelumdiskon]]-Table1[[#This Row],[h_diskon]])</f>
        <v/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/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IF(Table1[Item Description]="","",Table1[[#This Row],[h_hargasebelumdiskon]]*Table1[[#This Row],[Disc 1]])</f>
        <v/>
      </c>
      <c r="Z95" s="93" t="str">
        <f>IF(Table1[Item Description]="","",Table1[[#This Row],[h_hargasebelumdiskon]]-Table1[[#This Row],[h_diskon]])</f>
        <v/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/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IF(Table1[Item Description]="","",Table1[[#This Row],[h_hargasebelumdiskon]]*Table1[[#This Row],[Disc 1]])</f>
        <v/>
      </c>
      <c r="Z96" s="93" t="str">
        <f>IF(Table1[Item Description]="","",Table1[[#This Row],[h_hargasebelumdiskon]]-Table1[[#This Row],[h_diskon]])</f>
        <v/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/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IF(Table1[Item Description]="","",Table1[[#This Row],[h_hargasebelumdiskon]]*Table1[[#This Row],[Disc 1]])</f>
        <v/>
      </c>
      <c r="Z98" s="93" t="str">
        <f>IF(Table1[Item Description]="","",Table1[[#This Row],[h_hargasebelumdiskon]]-Table1[[#This Row],[h_diskon]])</f>
        <v/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/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IF(Table1[Item Description]="","",Table1[[#This Row],[h_hargasebelumdiskon]]*Table1[[#This Row],[Disc 1]])</f>
        <v/>
      </c>
      <c r="Z99" s="93" t="str">
        <f>IF(Table1[Item Description]="","",Table1[[#This Row],[h_hargasebelumdiskon]]-Table1[[#This Row],[h_diskon]])</f>
        <v/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/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IF(Table1[Item Description]="","",Table1[[#This Row],[h_hargasebelumdiskon]]*Table1[[#This Row],[Disc 1]])</f>
        <v/>
      </c>
      <c r="Z100" s="93" t="str">
        <f>IF(Table1[Item Description]="","",Table1[[#This Row],[h_hargasebelumdiskon]]-Table1[[#This Row],[h_diskon]])</f>
        <v/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/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IF(Table1[Item Description]="","",Table1[[#This Row],[h_hargasebelumdiskon]]*Table1[[#This Row],[Disc 1]])</f>
        <v/>
      </c>
      <c r="Z101" s="93" t="str">
        <f>IF(Table1[Item Description]="","",Table1[[#This Row],[h_hargasebelumdiskon]]-Table1[[#This Row],[h_diskon]])</f>
        <v/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/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IF(Table1[Item Description]="","",Table1[[#This Row],[h_hargasebelumdiskon]]*Table1[[#This Row],[Disc 1]])</f>
        <v/>
      </c>
      <c r="Z102" s="93" t="str">
        <f>IF(Table1[Item Description]="","",Table1[[#This Row],[h_hargasebelumdiskon]]-Table1[[#This Row],[h_diskon]])</f>
        <v/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/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IF(Table1[Item Description]="","",Table1[[#This Row],[h_hargasebelumdiskon]]*Table1[[#This Row],[Disc 1]])</f>
        <v/>
      </c>
      <c r="Z103" s="93" t="str">
        <f>IF(Table1[Item Description]="","",Table1[[#This Row],[h_hargasebelumdiskon]]-Table1[[#This Row],[h_diskon]])</f>
        <v/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/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IF(Table1[Item Description]="","",Table1[[#This Row],[h_hargasebelumdiskon]]*Table1[[#This Row],[Disc 1]])</f>
        <v/>
      </c>
      <c r="Z105" s="93" t="str">
        <f>IF(Table1[Item Description]="","",Table1[[#This Row],[h_hargasebelumdiskon]]-Table1[[#This Row],[h_diskon]])</f>
        <v/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/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IF(Table1[Item Description]="","",Table1[[#This Row],[h_hargasebelumdiskon]]*Table1[[#This Row],[Disc 1]])</f>
        <v/>
      </c>
      <c r="Z106" s="93" t="str">
        <f>IF(Table1[Item Description]="","",Table1[[#This Row],[h_hargasebelumdiskon]]-Table1[[#This Row],[h_diskon]])</f>
        <v/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/>
      </c>
    </row>
    <row r="107" spans="1:29" x14ac:dyDescent="0.25">
      <c r="A107" s="95" t="str">
        <f>IF(Table1[No. Invoice :]="","",ROW())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 t="str">
        <f>IF(Table1[No. Invoice :]="","",ROW())</f>
        <v/>
      </c>
      <c r="B108" s="291" t="str">
        <f>IF(Table1[h_Kode Sales :_1]="","",B$1+COUNT(B$2:B107))</f>
        <v/>
      </c>
      <c r="D108" s="292"/>
      <c r="E108" s="293"/>
      <c r="F108" s="292"/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M108" s="292"/>
      <c r="N108" s="291" t="str">
        <f>IF(Table1[[#This Row],[h_Item Description]]="","",INDEX([1]!db[NB PAJAK],MATCH(Table1[[#This Row],[h_Item Description]],[1]!db[kode],0)))</f>
        <v/>
      </c>
      <c r="P108" s="93"/>
      <c r="Q108" s="94"/>
      <c r="S108" s="294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IF(Table1[Item Description]="","",Table1[[#This Row],[h_hargasebelumdiskon]]*Table1[[#This Row],[Disc 1]])</f>
        <v/>
      </c>
      <c r="Z108" s="93" t="str">
        <f>IF(Table1[Item Description]="","",Table1[[#This Row],[h_hargasebelumdiskon]]-Table1[[#This Row],[h_diskon]])</f>
        <v/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/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M109" s="292"/>
      <c r="N109" s="291" t="str">
        <f>IF(Table1[[#This Row],[h_Item Description]]="","",INDEX([1]!db[NB PAJAK],MATCH(Table1[[#This Row],[h_Item Description]],[1]!db[kode],0)))</f>
        <v/>
      </c>
      <c r="P109" s="93"/>
      <c r="Q109" s="94"/>
      <c r="S109" s="294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IF(Table1[Item Description]="","",Table1[[#This Row],[h_hargasebelumdiskon]]*Table1[[#This Row],[Disc 1]])</f>
        <v/>
      </c>
      <c r="Z109" s="93" t="str">
        <f>IF(Table1[Item Description]="","",Table1[[#This Row],[h_hargasebelumdiskon]]-Table1[[#This Row],[h_diskon]])</f>
        <v/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/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M110" s="292"/>
      <c r="N110" s="291" t="str">
        <f>IF(Table1[[#This Row],[h_Item Description]]="","",INDEX([1]!db[NB PAJAK],MATCH(Table1[[#This Row],[h_Item Description]],[1]!db[kode],0)))</f>
        <v/>
      </c>
      <c r="P110" s="93"/>
      <c r="Q110" s="94"/>
      <c r="S110" s="294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IF(Table1[Item Description]="","",Table1[[#This Row],[h_hargasebelumdiskon]]*Table1[[#This Row],[Disc 1]])</f>
        <v/>
      </c>
      <c r="Z110" s="93" t="str">
        <f>IF(Table1[Item Description]="","",Table1[[#This Row],[h_hargasebelumdiskon]]-Table1[[#This Row],[h_diskon]])</f>
        <v/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/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M111" s="292"/>
      <c r="N111" s="291" t="str">
        <f>IF(Table1[[#This Row],[h_Item Description]]="","",INDEX([1]!db[NB PAJAK],MATCH(Table1[[#This Row],[h_Item Description]],[1]!db[kode],0)))</f>
        <v/>
      </c>
      <c r="P111" s="93"/>
      <c r="Q111" s="94"/>
      <c r="S111" s="294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IF(Table1[Item Description]="","",Table1[[#This Row],[h_hargasebelumdiskon]]*Table1[[#This Row],[Disc 1]])</f>
        <v/>
      </c>
      <c r="Z111" s="93" t="str">
        <f>IF(Table1[Item Description]="","",Table1[[#This Row],[h_hargasebelumdiskon]]-Table1[[#This Row],[h_diskon]])</f>
        <v/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/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M112" s="292"/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IF(Table1[Item Description]="","",Table1[[#This Row],[h_hargasebelumdiskon]]*Table1[[#This Row],[Disc 1]])</f>
        <v/>
      </c>
      <c r="Z112" s="93" t="str">
        <f>IF(Table1[Item Description]="","",Table1[[#This Row],[h_hargasebelumdiskon]]-Table1[[#This Row],[h_diskon]])</f>
        <v/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/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M113" s="292"/>
      <c r="N113" s="291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IF(Table1[Item Description]="","",Table1[[#This Row],[h_hargasebelumdiskon]]*Table1[[#This Row],[Disc 1]])</f>
        <v/>
      </c>
      <c r="Z113" s="93" t="str">
        <f>IF(Table1[Item Description]="","",Table1[[#This Row],[h_hargasebelumdiskon]]-Table1[[#This Row],[h_diskon]])</f>
        <v/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/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M114" s="292"/>
      <c r="N114" s="291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IF(Table1[Item Description]="","",Table1[[#This Row],[h_hargasebelumdiskon]]*Table1[[#This Row],[Disc 1]])</f>
        <v/>
      </c>
      <c r="Z114" s="93" t="str">
        <f>IF(Table1[Item Description]="","",Table1[[#This Row],[h_hargasebelumdiskon]]-Table1[[#This Row],[h_diskon]])</f>
        <v/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/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M115" s="292"/>
      <c r="N115" s="291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IF(Table1[Item Description]="","",Table1[[#This Row],[h_hargasebelumdiskon]]*Table1[[#This Row],[Disc 1]])</f>
        <v/>
      </c>
      <c r="Z115" s="93" t="str">
        <f>IF(Table1[Item Description]="","",Table1[[#This Row],[h_hargasebelumdiskon]]-Table1[[#This Row],[h_diskon]])</f>
        <v/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/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291" t="s">
        <v>119</v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IF(Table1[Item Description]="","",Table1[[#This Row],[h_hargasebelumdiskon]]*Table1[[#This Row],[Disc 1]])</f>
        <v/>
      </c>
      <c r="Z116" s="93" t="str">
        <f>IF(Table1[Item Description]="","",Table1[[#This Row],[h_hargasebelumdiskon]]-Table1[[#This Row],[h_diskon]])</f>
        <v/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/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291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IF(Table1[Item Description]="","",Table1[[#This Row],[h_hargasebelumdiskon]]*Table1[[#This Row],[Disc 1]])</f>
        <v/>
      </c>
      <c r="Z117" s="93" t="str">
        <f>IF(Table1[Item Description]="","",Table1[[#This Row],[h_hargasebelumdiskon]]-Table1[[#This Row],[h_diskon]])</f>
        <v/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/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M118" s="292"/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IF(Table1[Item Description]="","",Table1[[#This Row],[h_hargasebelumdiskon]]*Table1[[#This Row],[Disc 1]])</f>
        <v/>
      </c>
      <c r="Z118" s="93" t="str">
        <f>IF(Table1[Item Description]="","",Table1[[#This Row],[h_hargasebelumdiskon]]-Table1[[#This Row],[h_diskon]])</f>
        <v/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/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 t="str">
        <f>IF(Table1[No. Invoice :]="","",ROW())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M120" s="292"/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IF(Table1[Item Description]="","",Table1[[#This Row],[h_hargasebelumdiskon]]*Table1[[#This Row],[Disc 1]])</f>
        <v/>
      </c>
      <c r="Z120" s="93" t="str">
        <f>IF(Table1[Item Description]="","",Table1[[#This Row],[h_hargasebelumdiskon]]-Table1[[#This Row],[h_diskon]])</f>
        <v/>
      </c>
      <c r="AA120" s="93" t="str">
        <f>IF(Table1[//]="","",SUMIF(Table1[h_id],Table1[h_id],Table1[h_hargasetelahdiskon]))</f>
        <v/>
      </c>
      <c r="AB120" s="93"/>
      <c r="AC120" s="93" t="str">
        <f>Table1[[#This Row],[Item Description]]&amp;Table1[[#This Row],[Unit]]&amp;Table1[[#This Row],[Unit Price]]</f>
        <v/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M121" s="292"/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IF(Table1[Item Description]="","",Table1[[#This Row],[h_hargasebelumdiskon]]*Table1[[#This Row],[Disc 1]])</f>
        <v/>
      </c>
      <c r="Z121" s="93" t="str">
        <f>IF(Table1[Item Description]="","",Table1[[#This Row],[h_hargasebelumdiskon]]-Table1[[#This Row],[h_diskon]])</f>
        <v/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/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IF(Table1[Item Description]="","",Table1[[#This Row],[h_hargasebelumdiskon]]*Table1[[#This Row],[Disc 1]])</f>
        <v/>
      </c>
      <c r="Z122" s="93" t="str">
        <f>IF(Table1[Item Description]="","",Table1[[#This Row],[h_hargasebelumdiskon]]-Table1[[#This Row],[h_diskon]])</f>
        <v/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/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 t="str">
        <f>IF(Table1[No. Invoice :]="","",ROW())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M124" s="292"/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IF(Table1[Item Description]="","",Table1[[#This Row],[h_hargasebelumdiskon]]*Table1[[#This Row],[Disc 1]])</f>
        <v/>
      </c>
      <c r="Z124" s="93" t="str">
        <f>IF(Table1[Item Description]="","",Table1[[#This Row],[h_hargasebelumdiskon]]-Table1[[#This Row],[h_diskon]])</f>
        <v/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/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 t="str">
        <f>IF(Table1[No. Invoice :]="","",ROW())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M126" s="292"/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IF(Table1[Item Description]="","",Table1[[#This Row],[h_hargasebelumdiskon]]*Table1[[#This Row],[Disc 1]])</f>
        <v/>
      </c>
      <c r="Z126" s="93" t="str">
        <f>IF(Table1[Item Description]="","",Table1[[#This Row],[h_hargasebelumdiskon]]-Table1[[#This Row],[h_diskon]])</f>
        <v/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/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IF(Table1[Item Description]="","",Table1[[#This Row],[h_hargasebelumdiskon]]*Table1[[#This Row],[Disc 1]])</f>
        <v/>
      </c>
      <c r="Z127" s="93" t="str">
        <f>IF(Table1[Item Description]="","",Table1[[#This Row],[h_hargasebelumdiskon]]-Table1[[#This Row],[h_diskon]])</f>
        <v/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/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IF(Table1[Item Description]="","",Table1[[#This Row],[h_hargasebelumdiskon]]*Table1[[#This Row],[Disc 1]])</f>
        <v/>
      </c>
      <c r="Z129" s="93" t="str">
        <f>IF(Table1[Item Description]="","",Table1[[#This Row],[h_hargasebelumdiskon]]-Table1[[#This Row],[h_diskon]])</f>
        <v/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/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 t="str">
        <f>IF(Table1[No. Invoice :]="","",ROW())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:_1]="","",B$1+COUNT(B$2:B131))</f>
        <v/>
      </c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IF(Table1[Item Description]="","",Table1[[#This Row],[h_hargasebelumdiskon]]*Table1[[#This Row],[Disc 1]])</f>
        <v/>
      </c>
      <c r="Z132" s="93" t="str">
        <f>IF(Table1[Item Description]="","",Table1[[#This Row],[h_hargasebelumdiskon]]-Table1[[#This Row],[h_diskon]])</f>
        <v/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/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IF(Table1[Item Description]="","",Table1[[#This Row],[h_hargasebelumdiskon]]*Table1[[#This Row],[Disc 1]])</f>
        <v/>
      </c>
      <c r="Z134" s="93" t="str">
        <f>IF(Table1[Item Description]="","",Table1[[#This Row],[h_hargasebelumdiskon]]-Table1[[#This Row],[h_diskon]])</f>
        <v/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/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 t="str">
        <f>IF(Table1[No. Invoice :]="","",ROW())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IF(Table1[Item Description]="","",Table1[[#This Row],[h_hargasebelumdiskon]]*Table1[[#This Row],[Disc 1]])</f>
        <v/>
      </c>
      <c r="Z136" s="93" t="str">
        <f>IF(Table1[Item Description]="","",Table1[[#This Row],[h_hargasebelumdiskon]]-Table1[[#This Row],[h_diskon]])</f>
        <v/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/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IF(Table1[Item Description]="","",Table1[[#This Row],[h_hargasebelumdiskon]]*Table1[[#This Row],[Disc 1]])</f>
        <v/>
      </c>
      <c r="Z137" s="93" t="str">
        <f>IF(Table1[Item Description]="","",Table1[[#This Row],[h_hargasebelumdiskon]]-Table1[[#This Row],[h_diskon]])</f>
        <v/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/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IF(Table1[Item Description]="","",Table1[[#This Row],[h_hargasebelumdiskon]]*Table1[[#This Row],[Disc 1]])</f>
        <v/>
      </c>
      <c r="Z139" s="93" t="str">
        <f>IF(Table1[Item Description]="","",Table1[[#This Row],[h_hargasebelumdiskon]]-Table1[[#This Row],[h_diskon]])</f>
        <v/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/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IF(Table1[Item Description]="","",Table1[[#This Row],[h_hargasebelumdiskon]]*Table1[[#This Row],[Disc 1]])</f>
        <v/>
      </c>
      <c r="Z140" s="93" t="str">
        <f>IF(Table1[Item Description]="","",Table1[[#This Row],[h_hargasebelumdiskon]]-Table1[[#This Row],[h_diskon]])</f>
        <v/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/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IF(Table1[Item Description]="","",Table1[[#This Row],[h_hargasebelumdiskon]]*Table1[[#This Row],[Disc 1]])</f>
        <v/>
      </c>
      <c r="Z141" s="93" t="str">
        <f>IF(Table1[Item Description]="","",Table1[[#This Row],[h_hargasebelumdiskon]]-Table1[[#This Row],[h_diskon]])</f>
        <v/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/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 t="str">
        <f>IF(Table1[No. Invoice :]="","",ROW())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M144" s="292"/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 t="str">
        <f>IF(Table1[No. Invoice :]="","",ROW())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M146" s="292"/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 t="str">
        <f>IF(Table1[No. Invoice :]="","",ROW())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M148" s="292"/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IF(Table1[Item Description]="","",Table1[[#This Row],[h_hargasebelumdiskon]]*Table1[[#This Row],[Disc 1]])</f>
        <v/>
      </c>
      <c r="Z148" s="93" t="str">
        <f>IF(Table1[Item Description]="","",Table1[[#This Row],[h_hargasebelumdiskon]]-Table1[[#This Row],[h_diskon]])</f>
        <v/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/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 t="str">
        <f>IF(Table1[No. Invoice :]="","",ROW())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M150" s="292"/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IF(Table1[Item Description]="","",Table1[[#This Row],[h_hargasebelumdiskon]]*Table1[[#This Row],[Disc 1]])</f>
        <v/>
      </c>
      <c r="Z151" s="93" t="str">
        <f>IF(Table1[Item Description]="","",Table1[[#This Row],[h_hargasebelumdiskon]]-Table1[[#This Row],[h_diskon]])</f>
        <v/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/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IF(Table1[Item Description]="","",Table1[[#This Row],[h_hargasebelumdiskon]]*Table1[[#This Row],[Disc 1]])</f>
        <v/>
      </c>
      <c r="Z153" s="93" t="str">
        <f>IF(Table1[Item Description]="","",Table1[[#This Row],[h_hargasebelumdiskon]]-Table1[[#This Row],[h_diskon]])</f>
        <v/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/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IF(Table1[Item Description]="","",Table1[[#This Row],[h_hargasebelumdiskon]]*Table1[[#This Row],[Disc 1]])</f>
        <v/>
      </c>
      <c r="Z154" s="93" t="str">
        <f>IF(Table1[Item Description]="","",Table1[[#This Row],[h_hargasebelumdiskon]]-Table1[[#This Row],[h_diskon]])</f>
        <v/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/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 t="str">
        <f>IF(Table1[No. Invoice :]="","",ROW())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M157" s="292"/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IF(Table1[Item Description]="","",Table1[[#This Row],[h_hargasebelumdiskon]]*Table1[[#This Row],[Disc 1]])</f>
        <v/>
      </c>
      <c r="Z157" s="93" t="str">
        <f>IF(Table1[Item Description]="","",Table1[[#This Row],[h_hargasebelumdiskon]]-Table1[[#This Row],[h_diskon]])</f>
        <v/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/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IF(Table1[Item Description]="","",Table1[[#This Row],[h_hargasebelumdiskon]]*Table1[[#This Row],[Disc 1]])</f>
        <v/>
      </c>
      <c r="Z159" s="93" t="str">
        <f>IF(Table1[Item Description]="","",Table1[[#This Row],[h_hargasebelumdiskon]]-Table1[[#This Row],[h_diskon]])</f>
        <v/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/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IF(Table1[Item Description]="","",Table1[[#This Row],[h_hargasebelumdiskon]]*Table1[[#This Row],[Disc 1]])</f>
        <v/>
      </c>
      <c r="Z160" s="93" t="str">
        <f>IF(Table1[Item Description]="","",Table1[[#This Row],[h_hargasebelumdiskon]]-Table1[[#This Row],[h_diskon]])</f>
        <v/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/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IF(Table1[Item Description]="","",Table1[[#This Row],[h_hargasebelumdiskon]]*Table1[[#This Row],[Disc 1]])</f>
        <v/>
      </c>
      <c r="Z162" s="93" t="str">
        <f>IF(Table1[Item Description]="","",Table1[[#This Row],[h_hargasebelumdiskon]]-Table1[[#This Row],[h_diskon]])</f>
        <v/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/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IF(Table1[Item Description]="","",Table1[[#This Row],[h_hargasebelumdiskon]]*Table1[[#This Row],[Disc 1]])</f>
        <v/>
      </c>
      <c r="Z164" s="93" t="str">
        <f>IF(Table1[Item Description]="","",Table1[[#This Row],[h_hargasebelumdiskon]]-Table1[[#This Row],[h_diskon]])</f>
        <v/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/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IF(Table1[Item Description]="","",Table1[[#This Row],[h_hargasebelumdiskon]]*Table1[[#This Row],[Disc 1]])</f>
        <v/>
      </c>
      <c r="Z165" s="93" t="str">
        <f>IF(Table1[Item Description]="","",Table1[[#This Row],[h_hargasebelumdiskon]]-Table1[[#This Row],[h_diskon]])</f>
        <v/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/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IF(Table1[Item Description]="","",Table1[[#This Row],[h_hargasebelumdiskon]]*Table1[[#This Row],[Disc 1]])</f>
        <v/>
      </c>
      <c r="Z166" s="93" t="str">
        <f>IF(Table1[Item Description]="","",Table1[[#This Row],[h_hargasebelumdiskon]]-Table1[[#This Row],[h_diskon]])</f>
        <v/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/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 t="str">
        <f>IF(Table1[No. Invoice :]="","",ROW())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M168" s="292"/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IF(Table1[Item Description]="","",Table1[[#This Row],[h_hargasebelumdiskon]]*Table1[[#This Row],[Disc 1]])</f>
        <v/>
      </c>
      <c r="Z168" s="93" t="str">
        <f>IF(Table1[Item Description]="","",Table1[[#This Row],[h_hargasebelumdiskon]]-Table1[[#This Row],[h_diskon]])</f>
        <v/>
      </c>
      <c r="AA168" s="93" t="str">
        <f>IF(Table1[//]="","",SUMIF(Table1[h_id],Table1[h_id],Table1[h_hargasetelahdiskon]))</f>
        <v/>
      </c>
      <c r="AB168" s="93"/>
      <c r="AC168" s="93" t="str">
        <f>Table1[[#This Row],[Item Description]]&amp;Table1[[#This Row],[Unit]]&amp;Table1[[#This Row],[Unit Price]]</f>
        <v/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IF(Table1[Item Description]="","",Table1[[#This Row],[h_hargasebelumdiskon]]*Table1[[#This Row],[Disc 1]])</f>
        <v/>
      </c>
      <c r="Z169" s="93" t="str">
        <f>IF(Table1[Item Description]="","",Table1[[#This Row],[h_hargasebelumdiskon]]-Table1[[#This Row],[h_diskon]])</f>
        <v/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/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IF(Table1[Item Description]="","",Table1[[#This Row],[h_hargasebelumdiskon]]*Table1[[#This Row],[Disc 1]])</f>
        <v/>
      </c>
      <c r="Z170" s="93" t="str">
        <f>IF(Table1[Item Description]="","",Table1[[#This Row],[h_hargasebelumdiskon]]-Table1[[#This Row],[h_diskon]])</f>
        <v/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/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IF(Table1[Item Description]="","",Table1[[#This Row],[h_hargasebelumdiskon]]*Table1[[#This Row],[Disc 1]])</f>
        <v/>
      </c>
      <c r="Z171" s="93" t="str">
        <f>IF(Table1[Item Description]="","",Table1[[#This Row],[h_hargasebelumdiskon]]-Table1[[#This Row],[h_diskon]])</f>
        <v/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/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 t="str">
        <f>IF(Table1[No. Invoice :]="","",ROW())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M173" s="292"/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IF(Table1[Item Description]="","",Table1[[#This Row],[h_hargasebelumdiskon]]*Table1[[#This Row],[Disc 1]])</f>
        <v/>
      </c>
      <c r="Z173" s="93" t="str">
        <f>IF(Table1[Item Description]="","",Table1[[#This Row],[h_hargasebelumdiskon]]-Table1[[#This Row],[h_diskon]])</f>
        <v/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/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 t="str">
        <f>IF(Table1[No. Invoice :]="","",ROW())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IF(Table1[Item Description]="","",Table1[[#This Row],[h_hargasebelumdiskon]]*Table1[[#This Row],[Disc 1]])</f>
        <v/>
      </c>
      <c r="Z175" s="93" t="str">
        <f>IF(Table1[Item Description]="","",Table1[[#This Row],[h_hargasebelumdiskon]]-Table1[[#This Row],[h_diskon]])</f>
        <v/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/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IF(Table1[Item Description]="","",Table1[[#This Row],[h_hargasebelumdiskon]]*Table1[[#This Row],[Disc 1]])</f>
        <v/>
      </c>
      <c r="Z176" s="93" t="str">
        <f>IF(Table1[Item Description]="","",Table1[[#This Row],[h_hargasebelumdiskon]]-Table1[[#This Row],[h_diskon]])</f>
        <v/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/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IF(Table1[Item Description]="","",Table1[[#This Row],[h_hargasebelumdiskon]]*Table1[[#This Row],[Disc 1]])</f>
        <v/>
      </c>
      <c r="Z177" s="93" t="str">
        <f>IF(Table1[Item Description]="","",Table1[[#This Row],[h_hargasebelumdiskon]]-Table1[[#This Row],[h_diskon]])</f>
        <v/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/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 t="str">
        <f>IF(Table1[No. Invoice :]="","",ROW())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M179" s="292"/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IF(Table1[Item Description]="","",Table1[[#This Row],[h_hargasebelumdiskon]]*Table1[[#This Row],[Disc 1]])</f>
        <v/>
      </c>
      <c r="Z179" s="93" t="str">
        <f>IF(Table1[Item Description]="","",Table1[[#This Row],[h_hargasebelumdiskon]]-Table1[[#This Row],[h_diskon]])</f>
        <v/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/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 t="str">
        <f>IF(Table1[No. Invoice :]="","",ROW())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IF(Table1[Item Description]="","",Table1[[#This Row],[h_hargasebelumdiskon]]*Table1[[#This Row],[Disc 1]])</f>
        <v/>
      </c>
      <c r="Z185" s="93" t="str">
        <f>IF(Table1[Item Description]="","",Table1[[#This Row],[h_hargasebelumdiskon]]-Table1[[#This Row],[h_diskon]])</f>
        <v/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/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IF(Table1[Item Description]="","",Table1[[#This Row],[h_hargasebelumdiskon]]*Table1[[#This Row],[Disc 1]])</f>
        <v/>
      </c>
      <c r="Z186" s="93" t="str">
        <f>IF(Table1[Item Description]="","",Table1[[#This Row],[h_hargasebelumdiskon]]-Table1[[#This Row],[h_diskon]])</f>
        <v/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/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IF(Table1[Item Description]="","",Table1[[#This Row],[h_hargasebelumdiskon]]*Table1[[#This Row],[Disc 1]])</f>
        <v/>
      </c>
      <c r="Z187" s="93" t="str">
        <f>IF(Table1[Item Description]="","",Table1[[#This Row],[h_hargasebelumdiskon]]-Table1[[#This Row],[h_diskon]])</f>
        <v/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/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IF(Table1[Item Description]="","",Table1[[#This Row],[h_hargasebelumdiskon]]*Table1[[#This Row],[Disc 1]])</f>
        <v/>
      </c>
      <c r="Z189" s="93" t="str">
        <f>IF(Table1[Item Description]="","",Table1[[#This Row],[h_hargasebelumdiskon]]-Table1[[#This Row],[h_diskon]])</f>
        <v/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/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IF(Table1[Item Description]="","",Table1[[#This Row],[h_hargasebelumdiskon]]*Table1[[#This Row],[Disc 1]])</f>
        <v/>
      </c>
      <c r="Z190" s="93" t="str">
        <f>IF(Table1[Item Description]="","",Table1[[#This Row],[h_hargasebelumdiskon]]-Table1[[#This Row],[h_diskon]])</f>
        <v/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/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 t="str">
        <f>IF(Table1[No. Invoice :]="","",ROW())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IF(Table1[Item Description]="","",Table1[[#This Row],[h_hargasebelumdiskon]]*Table1[[#This Row],[Disc 1]])</f>
        <v/>
      </c>
      <c r="Z192" s="93" t="str">
        <f>IF(Table1[Item Description]="","",Table1[[#This Row],[h_hargasebelumdiskon]]-Table1[[#This Row],[h_diskon]])</f>
        <v/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/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IF(Table1[Item Description]="","",Table1[[#This Row],[h_hargasebelumdiskon]]*Table1[[#This Row],[Disc 1]])</f>
        <v/>
      </c>
      <c r="Z193" s="93" t="str">
        <f>IF(Table1[Item Description]="","",Table1[[#This Row],[h_hargasebelumdiskon]]-Table1[[#This Row],[h_diskon]])</f>
        <v/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/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95" t="str">
        <f>IF(Table1[No. Invoice :]="","",ROW())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 t="str">
        <f>IF(Table1[No. Invoice :]="","",ROW())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IF(Table1[Item Description]="","",Table1[[#This Row],[h_hargasebelumdiskon]]*Table1[[#This Row],[Disc 1]])</f>
        <v/>
      </c>
      <c r="Z201" s="93" t="str">
        <f>IF(Table1[Item Description]="","",Table1[[#This Row],[h_hargasebelumdiskon]]-Table1[[#This Row],[h_diskon]])</f>
        <v/>
      </c>
      <c r="AA201" s="93" t="str">
        <f>IF(Table1[//]="","",SUMIF(Table1[h_id],Table1[h_id],Table1[h_hargasetelahdiskon]))</f>
        <v/>
      </c>
      <c r="AB201" s="93"/>
      <c r="AC201" s="93" t="str">
        <f>Table1[[#This Row],[Item Description]]&amp;Table1[[#This Row],[Unit]]&amp;Table1[[#This Row],[Unit Price]]</f>
        <v/>
      </c>
    </row>
    <row r="202" spans="1:29" x14ac:dyDescent="0.25">
      <c r="A202" s="95" t="str">
        <f>IF(Table1[No. Invoice :]="","",ROW())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IF(Table1[Item Description]="","",Table1[[#This Row],[h_hargasebelumdiskon]]*Table1[[#This Row],[Disc 1]])</f>
        <v/>
      </c>
      <c r="Z202" s="93" t="str">
        <f>IF(Table1[Item Description]="","",Table1[[#This Row],[h_hargasebelumdiskon]]-Table1[[#This Row],[h_diskon]])</f>
        <v/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/>
      </c>
    </row>
    <row r="203" spans="1:29" x14ac:dyDescent="0.25">
      <c r="A203" s="95" t="str">
        <f>IF(Table1[No. Invoice :]="","",ROW())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IF(Table1[Item Description]="","",Table1[[#This Row],[h_hargasebelumdiskon]]*Table1[[#This Row],[Disc 1]])</f>
        <v/>
      </c>
      <c r="Z203" s="93" t="str">
        <f>IF(Table1[Item Description]="","",Table1[[#This Row],[h_hargasebelumdiskon]]-Table1[[#This Row],[h_diskon]])</f>
        <v/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/>
      </c>
    </row>
    <row r="204" spans="1:29" x14ac:dyDescent="0.25">
      <c r="A204" s="95" t="str">
        <f>IF(Table1[No. Invoice :]="","",ROW())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 t="str">
        <f>IF(Table1[No. Invoice :]="","",ROW())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IF(Table1[Item Description]="","",Table1[[#This Row],[h_hargasebelumdiskon]]*Table1[[#This Row],[Disc 1]])</f>
        <v/>
      </c>
      <c r="Z205" s="93" t="str">
        <f>IF(Table1[Item Description]="","",Table1[[#This Row],[h_hargasebelumdiskon]]-Table1[[#This Row],[h_diskon]])</f>
        <v/>
      </c>
      <c r="AA205" s="93" t="str">
        <f>IF(Table1[//]="","",SUMIF(Table1[h_id],Table1[h_id],Table1[h_hargasetelahdiskon]))</f>
        <v/>
      </c>
      <c r="AB205" s="93"/>
      <c r="AC205" s="93" t="str">
        <f>Table1[[#This Row],[Item Description]]&amp;Table1[[#This Row],[Unit]]&amp;Table1[[#This Row],[Unit Price]]</f>
        <v/>
      </c>
    </row>
    <row r="206" spans="1:29" x14ac:dyDescent="0.25">
      <c r="A206" s="95" t="str">
        <f>IF(Table1[No. Invoice :]="","",ROW())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 t="str">
        <f>IF(Table1[No. Invoice :]="","",ROW())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IF(Table1[Item Description]="","",Table1[[#This Row],[h_hargasebelumdiskon]]*Table1[[#This Row],[Disc 1]])</f>
        <v/>
      </c>
      <c r="Z207" s="93" t="str">
        <f>IF(Table1[Item Description]="","",Table1[[#This Row],[h_hargasebelumdiskon]]-Table1[[#This Row],[h_diskon]])</f>
        <v/>
      </c>
      <c r="AA207" s="93" t="str">
        <f>IF(Table1[//]="","",SUMIF(Table1[h_id],Table1[h_id],Table1[h_hargasetelahdiskon]))</f>
        <v/>
      </c>
      <c r="AB207" s="93"/>
      <c r="AC207" s="93" t="str">
        <f>Table1[[#This Row],[Item Description]]&amp;Table1[[#This Row],[Unit]]&amp;Table1[[#This Row],[Unit Price]]</f>
        <v/>
      </c>
    </row>
    <row r="208" spans="1:29" x14ac:dyDescent="0.25">
      <c r="A208" s="95" t="str">
        <f>IF(Table1[No. Invoice :]="","",ROW())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IF(Table1[Item Description]="","",Table1[[#This Row],[h_hargasebelumdiskon]]*Table1[[#This Row],[Disc 1]])</f>
        <v/>
      </c>
      <c r="Z208" s="93" t="str">
        <f>IF(Table1[Item Description]="","",Table1[[#This Row],[h_hargasebelumdiskon]]-Table1[[#This Row],[h_diskon]])</f>
        <v/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/>
      </c>
    </row>
    <row r="209" spans="1:29" x14ac:dyDescent="0.25">
      <c r="A209" s="95" t="str">
        <f>IF(Table1[No. Invoice :]="","",ROW())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IF(Table1[Item Description]="","",Table1[[#This Row],[h_hargasebelumdiskon]]*Table1[[#This Row],[Disc 1]])</f>
        <v/>
      </c>
      <c r="Z209" s="93" t="str">
        <f>IF(Table1[Item Description]="","",Table1[[#This Row],[h_hargasebelumdiskon]]-Table1[[#This Row],[h_diskon]])</f>
        <v/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/>
      </c>
    </row>
    <row r="210" spans="1:29" x14ac:dyDescent="0.25">
      <c r="A210" s="95" t="str">
        <f>IF(Table1[No. Invoice :]="","",ROW())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IF(Table1[Item Description]="","",Table1[[#This Row],[h_hargasebelumdiskon]]*Table1[[#This Row],[Disc 1]])</f>
        <v/>
      </c>
      <c r="Z210" s="93" t="str">
        <f>IF(Table1[Item Description]="","",Table1[[#This Row],[h_hargasebelumdiskon]]-Table1[[#This Row],[h_diskon]])</f>
        <v/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/>
      </c>
    </row>
    <row r="211" spans="1:29" x14ac:dyDescent="0.25">
      <c r="A211" s="95" t="str">
        <f>IF(Table1[No. Invoice :]="","",ROW())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 t="str">
        <f>IF(Table1[No. Invoice :]="","",ROW())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IF(Table1[Item Description]="","",Table1[[#This Row],[h_hargasebelumdiskon]]*Table1[[#This Row],[Disc 1]])</f>
        <v/>
      </c>
      <c r="Z212" s="93" t="str">
        <f>IF(Table1[Item Description]="","",Table1[[#This Row],[h_hargasebelumdiskon]]-Table1[[#This Row],[h_diskon]])</f>
        <v/>
      </c>
      <c r="AA212" s="93" t="str">
        <f>IF(Table1[//]="","",SUMIF(Table1[h_id],Table1[h_id],Table1[h_hargasetelahdiskon]))</f>
        <v/>
      </c>
      <c r="AB212" s="93"/>
      <c r="AC212" s="93" t="str">
        <f>Table1[[#This Row],[Item Description]]&amp;Table1[[#This Row],[Unit]]&amp;Table1[[#This Row],[Unit Price]]</f>
        <v/>
      </c>
    </row>
    <row r="213" spans="1:29" x14ac:dyDescent="0.25">
      <c r="A213" s="95" t="str">
        <f>IF(Table1[No. Invoice :]="","",ROW())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IF(Table1[Item Description]="","",Table1[[#This Row],[h_hargasebelumdiskon]]*Table1[[#This Row],[Disc 1]])</f>
        <v/>
      </c>
      <c r="Z213" s="93" t="str">
        <f>IF(Table1[Item Description]="","",Table1[[#This Row],[h_hargasebelumdiskon]]-Table1[[#This Row],[h_diskon]])</f>
        <v/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/>
      </c>
    </row>
    <row r="214" spans="1:29" x14ac:dyDescent="0.25">
      <c r="A214" s="95" t="str">
        <f>IF(Table1[No. Invoice :]="","",ROW())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IF(Table1[Item Description]="","",Table1[[#This Row],[h_hargasebelumdiskon]]*Table1[[#This Row],[Disc 1]])</f>
        <v/>
      </c>
      <c r="Z214" s="93" t="str">
        <f>IF(Table1[Item Description]="","",Table1[[#This Row],[h_hargasebelumdiskon]]-Table1[[#This Row],[h_diskon]])</f>
        <v/>
      </c>
      <c r="AA214" s="93" t="str">
        <f>IF(Table1[//]="","",SUMIF(Table1[h_id],Table1[h_id],Table1[h_hargasetelahdiskon]))</f>
        <v/>
      </c>
      <c r="AB214" s="93"/>
      <c r="AC214" s="93" t="str">
        <f>Table1[[#This Row],[Item Description]]&amp;Table1[[#This Row],[Unit]]&amp;Table1[[#This Row],[Unit Price]]</f>
        <v/>
      </c>
    </row>
    <row r="215" spans="1:29" x14ac:dyDescent="0.25">
      <c r="A215" s="95"/>
      <c r="B215" s="95"/>
      <c r="G215" s="95"/>
      <c r="H215" s="96"/>
      <c r="I215" s="95"/>
      <c r="N215" s="95"/>
      <c r="P215" s="93"/>
      <c r="Q215" s="94"/>
      <c r="S215" s="93"/>
      <c r="V215" s="95"/>
      <c r="W215" s="95"/>
      <c r="X215" s="93"/>
      <c r="AB215" s="93"/>
      <c r="AC215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zoomScaleNormal="100" workbookViewId="0">
      <selection activeCell="A8" sqref="A8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11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 ca="1">SUM(pajak[Total Invoice])</f>
        <v>58984899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23030001</v>
      </c>
      <c r="F3" s="90">
        <f>IF(pajak[[#This Row],[//]]="","",INDEX(Table1[Tgl Invoice :],pajak[//]-offset))</f>
        <v>44988</v>
      </c>
      <c r="G3" t="str">
        <f>IF(pajak[[#This Row],[//]]="","",INDEX(Table1[Kode Sales :],pajak[//]-offset))</f>
        <v>KO 1182</v>
      </c>
      <c r="H3" t="str">
        <f>IF(pajak[[#This Row],[//]]="","",INDEX(Table1[Toko],pajak[//]-offset))</f>
        <v>CV PELITA JAYA (ANUGERAH SEJAHTERA) PURWOKERTO</v>
      </c>
      <c r="I3" s="89">
        <f ca="1">IF(pajak[[#This Row],[//]]="","",SUMIF(Table1[h_id],pajak[[#This Row],[//]],Table1[h_hargasebelumdiskon]))</f>
        <v>9300000</v>
      </c>
      <c r="J3" s="89">
        <f ca="1">IF(pajak[[#This Row],[//]]="","",SUMIF(Table1[h_id],pajak[[#This Row],[//]],Table1[h_diskon]))</f>
        <v>1255500</v>
      </c>
      <c r="K3" s="89">
        <f ca="1">IF(pajak[[#This Row],[//]]="","",SUMIF(Table1[h_id],pajak[[#This Row],[//]],Table1[h_hargasetelahdiskon]))</f>
        <v>8044500</v>
      </c>
      <c r="L3" s="89">
        <f ca="1">IF(pajak[//]="","",pajak[[#This Row],[Sub Total]]/1.11*11%)</f>
        <v>797202.70270270272</v>
      </c>
      <c r="M3" s="89">
        <f ca="1">pajak[[#This Row],[Sub Total]]</f>
        <v>8044500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 ca="1">IF(INDEX([2]Invoice!$K:$K,Table4[[#This Row],[cek_rekap(share)]])=pajak[[#This Row],[Total Invoice]],"-",FALSE)</f>
        <v>-</v>
      </c>
      <c r="V3" t="s">
        <v>25</v>
      </c>
      <c r="W3" s="89">
        <f ca="1">SUM(pajak[PPN 11%])</f>
        <v>5845350.3513513505</v>
      </c>
    </row>
    <row r="4" spans="1:23" x14ac:dyDescent="0.25">
      <c r="A4" s="88">
        <v>5</v>
      </c>
      <c r="D4">
        <f t="shared" si="0"/>
        <v>5</v>
      </c>
      <c r="E4" t="str">
        <f>IF(pajak[[#This Row],[//]]="","",INDEX(Table1[No. Invoice :],pajak[//]-offset))</f>
        <v>AM 23030002</v>
      </c>
      <c r="F4" s="90">
        <f>IF(pajak[[#This Row],[//]]="","",INDEX(Table1[Tgl Invoice :],pajak[//]-offset))</f>
        <v>44988</v>
      </c>
      <c r="G4" t="str">
        <f>IF(pajak[[#This Row],[//]]="","",INDEX(Table1[Kode Sales :],pajak[//]-offset))</f>
        <v>KO 1097</v>
      </c>
      <c r="H4" t="str">
        <f>IF(pajak[[#This Row],[//]]="","",INDEX(Table1[Toko],pajak[//]-offset))</f>
        <v>CV TRINITY CENTRAAL PURWOKERTO</v>
      </c>
      <c r="I4" s="89">
        <f ca="1">IF(pajak[[#This Row],[//]]="","",SUMIF(Table1[h_id],pajak[[#This Row],[//]],Table1[h_hargasebelumdiskon]))</f>
        <v>4653000</v>
      </c>
      <c r="J4" s="89">
        <f ca="1">IF(pajak[[#This Row],[//]]="","",SUMIF(Table1[h_id],pajak[[#This Row],[//]],Table1[h_diskon]))</f>
        <v>604890</v>
      </c>
      <c r="K4" s="89">
        <f ca="1">IF(pajak[[#This Row],[//]]="","",SUMIF(Table1[h_id],pajak[[#This Row],[//]],Table1[h_hargasetelahdiskon]))</f>
        <v>4048110</v>
      </c>
      <c r="L4" s="89">
        <f ca="1">IF(pajak[//]="","",pajak[[#This Row],[Sub Total]]/1.11*11%)</f>
        <v>401164.05405405402</v>
      </c>
      <c r="M4" s="89">
        <f ca="1">pajak[[#This Row],[Sub Total]]</f>
        <v>4048110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 ca="1">IF(INDEX([2]Invoice!$K:$K,Table4[[#This Row],[cek_rekap(share)]])=pajak[[#This Row],[Total Invoice]],"-",FALSE)</f>
        <v>-</v>
      </c>
      <c r="W4" s="89">
        <f ca="1">(W2/1.11)*11%</f>
        <v>5845350.3513513505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23030003</v>
      </c>
      <c r="F5" s="90">
        <f>IF(pajak[[#This Row],[//]]="","",INDEX(Table1[Tgl Invoice :],pajak[//]-offset))</f>
        <v>44988</v>
      </c>
      <c r="G5" t="str">
        <f>IF(pajak[[#This Row],[//]]="","",INDEX(Table1[Kode Sales :],pajak[//]-offset))</f>
        <v>G 1012</v>
      </c>
      <c r="H5" t="str">
        <f>IF(pajak[[#This Row],[//]]="","",INDEX(Table1[Toko],pajak[//]-offset))</f>
        <v>LILY JULIAWATI (REJO AGUNG) JOMBANG</v>
      </c>
      <c r="I5" s="89">
        <f ca="1">IF(pajak[[#This Row],[//]]="","",SUMIF(Table1[h_id],pajak[[#This Row],[//]],Table1[h_hargasebelumdiskon]))</f>
        <v>11664000</v>
      </c>
      <c r="J5" s="89">
        <f ca="1">IF(pajak[[#This Row],[//]]="","",SUMIF(Table1[h_id],pajak[[#This Row],[//]],Table1[h_diskon]))</f>
        <v>1458000</v>
      </c>
      <c r="K5" s="89">
        <f ca="1">IF(pajak[[#This Row],[//]]="","",SUMIF(Table1[h_id],pajak[[#This Row],[//]],Table1[h_hargasetelahdiskon]))</f>
        <v>10206000</v>
      </c>
      <c r="L5" s="89">
        <f ca="1">IF(pajak[//]="","",pajak[[#This Row],[Sub Total]]/1.11*11%)</f>
        <v>1011405.4054054053</v>
      </c>
      <c r="M5" s="89">
        <f ca="1">pajak[[#This Row],[Sub Total]]</f>
        <v>10206000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 ca="1">IF(INDEX([2]Invoice!$K:$K,Table4[[#This Row],[cek_rekap(share)]])=pajak[[#This Row],[Total Invoice]],"-",FALSE)</f>
        <v>-</v>
      </c>
    </row>
    <row r="6" spans="1:23" x14ac:dyDescent="0.25">
      <c r="A6" s="88">
        <v>11</v>
      </c>
      <c r="D6">
        <f t="shared" si="0"/>
        <v>11</v>
      </c>
      <c r="E6" t="str">
        <f>IF(pajak[[#This Row],[//]]="","",INDEX(Table1[No. Invoice :],pajak[//]-offset))</f>
        <v>AM 23030004</v>
      </c>
      <c r="F6" s="90">
        <f>IF(pajak[[#This Row],[//]]="","",INDEX(Table1[Tgl Invoice :],pajak[//]-offset))</f>
        <v>44991</v>
      </c>
      <c r="G6" t="str">
        <f>IF(pajak[[#This Row],[//]]="","",INDEX(Table1[Kode Sales :],pajak[//]-offset))</f>
        <v>KO 1192</v>
      </c>
      <c r="H6" t="str">
        <f>IF(pajak[[#This Row],[//]]="","",INDEX(Table1[Toko],pajak[//]-offset))</f>
        <v>CV  WISUDA PURWOKERTO</v>
      </c>
      <c r="I6" s="89">
        <f ca="1">IF(pajak[[#This Row],[//]]="","",SUMIF(Table1[h_id],pajak[[#This Row],[//]],Table1[h_hargasebelumdiskon]))</f>
        <v>924600</v>
      </c>
      <c r="J6" s="89">
        <f ca="1">IF(pajak[[#This Row],[//]]="","",SUMIF(Table1[h_id],pajak[[#This Row],[//]],Table1[h_diskon]))</f>
        <v>92460</v>
      </c>
      <c r="K6" s="89">
        <f ca="1">IF(pajak[[#This Row],[//]]="","",SUMIF(Table1[h_id],pajak[[#This Row],[//]],Table1[h_hargasetelahdiskon]))</f>
        <v>832140</v>
      </c>
      <c r="L6" s="89">
        <f ca="1">IF(pajak[//]="","",pajak[[#This Row],[Sub Total]]/1.11*11%)</f>
        <v>82464.32432432432</v>
      </c>
      <c r="M6" s="89">
        <f ca="1">pajak[[#This Row],[Sub Total]]</f>
        <v>832140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 ca="1">IF(INDEX([2]Invoice!$K:$K,Table4[[#This Row],[cek_rekap(share)]])=pajak[[#This Row],[Total Invoice]],"-",FALSE)</f>
        <v>-</v>
      </c>
    </row>
    <row r="7" spans="1:23" x14ac:dyDescent="0.25">
      <c r="A7" s="88">
        <v>14</v>
      </c>
      <c r="D7">
        <f t="shared" si="0"/>
        <v>14</v>
      </c>
      <c r="E7" t="str">
        <f>IF(pajak[[#This Row],[//]]="","",INDEX(Table1[No. Invoice :],pajak[//]-offset))</f>
        <v>AM 23030005</v>
      </c>
      <c r="F7" s="90">
        <f>IF(pajak[[#This Row],[//]]="","",INDEX(Table1[Tgl Invoice :],pajak[//]-offset))</f>
        <v>44991</v>
      </c>
      <c r="G7" t="str">
        <f>IF(pajak[[#This Row],[//]]="","",INDEX(Table1[Kode Sales :],pajak[//]-offset))</f>
        <v>KO 2906</v>
      </c>
      <c r="H7" t="str">
        <f>IF(pajak[[#This Row],[//]]="","",INDEX(Table1[Toko],pajak[//]-offset))</f>
        <v>CV TRINITY CENTRAAL PURWOKERTO</v>
      </c>
      <c r="I7" s="89">
        <f ca="1">IF(pajak[[#This Row],[//]]="","",SUMIF(Table1[h_id],pajak[[#This Row],[//]],Table1[h_hargasebelumdiskon]))</f>
        <v>4968000</v>
      </c>
      <c r="J7" s="89">
        <f ca="1">IF(pajak[[#This Row],[//]]="","",SUMIF(Table1[h_id],pajak[[#This Row],[//]],Table1[h_diskon]))</f>
        <v>645840</v>
      </c>
      <c r="K7" s="89">
        <f ca="1">IF(pajak[[#This Row],[//]]="","",SUMIF(Table1[h_id],pajak[[#This Row],[//]],Table1[h_hargasetelahdiskon]))</f>
        <v>4322160</v>
      </c>
      <c r="L7" s="89">
        <f ca="1">IF(pajak[//]="","",pajak[[#This Row],[Sub Total]]/1.11*11%)</f>
        <v>428322.16216216213</v>
      </c>
      <c r="M7" s="89">
        <f ca="1">pajak[[#This Row],[Sub Total]]</f>
        <v>4322160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 ca="1">IF(INDEX([2]Invoice!$K:$K,Table4[[#This Row],[cek_rekap(share)]])=pajak[[#This Row],[Total Invoice]],"-",FALSE)</f>
        <v>-</v>
      </c>
    </row>
    <row r="8" spans="1:23" x14ac:dyDescent="0.25">
      <c r="A8" s="88">
        <v>17</v>
      </c>
      <c r="D8">
        <f t="shared" si="0"/>
        <v>17</v>
      </c>
      <c r="E8" t="str">
        <f>IF(pajak[[#This Row],[//]]="","",INDEX(Table1[No. Invoice :],pajak[//]-offset))</f>
        <v>AM 23030006</v>
      </c>
      <c r="F8" s="90">
        <f>IF(pajak[[#This Row],[//]]="","",INDEX(Table1[Tgl Invoice :],pajak[//]-offset))</f>
        <v>44991</v>
      </c>
      <c r="G8" t="str">
        <f>IF(pajak[[#This Row],[//]]="","",INDEX(Table1[Kode Sales :],pajak[//]-offset))</f>
        <v>KO 2907</v>
      </c>
      <c r="H8" t="str">
        <f>IF(pajak[[#This Row],[//]]="","",INDEX(Table1[Toko],pajak[//]-offset))</f>
        <v>CV PELITA JAYA (ANUGERAH SEJAHTERA) PURWOKERTO</v>
      </c>
      <c r="I8" s="89">
        <f ca="1">IF(pajak[[#This Row],[//]]="","",SUMIF(Table1[h_id],pajak[[#This Row],[//]],Table1[h_hargasebelumdiskon]))</f>
        <v>11707200</v>
      </c>
      <c r="J8" s="89">
        <f ca="1">IF(pajak[[#This Row],[//]]="","",SUMIF(Table1[h_id],pajak[[#This Row],[//]],Table1[h_diskon]))</f>
        <v>1580472</v>
      </c>
      <c r="K8" s="89">
        <f ca="1">IF(pajak[[#This Row],[//]]="","",SUMIF(Table1[h_id],pajak[[#This Row],[//]],Table1[h_hargasetelahdiskon]))</f>
        <v>10126728</v>
      </c>
      <c r="L8" s="89">
        <f ca="1">IF(pajak[//]="","",pajak[[#This Row],[Sub Total]]/1.11*11%)</f>
        <v>1003549.6216216217</v>
      </c>
      <c r="M8" s="89">
        <f ca="1">pajak[[#This Row],[Sub Total]]</f>
        <v>10126728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 ca="1">IF(INDEX([2]Invoice!$K:$K,Table4[[#This Row],[cek_rekap(share)]])=pajak[[#This Row],[Total Invoice]],"-",FALSE)</f>
        <v>-</v>
      </c>
    </row>
    <row r="9" spans="1:23" x14ac:dyDescent="0.25">
      <c r="A9" s="88">
        <v>20</v>
      </c>
      <c r="D9">
        <f t="shared" si="0"/>
        <v>20</v>
      </c>
      <c r="E9" t="str">
        <f>IF(pajak[[#This Row],[//]]="","",INDEX(Table1[No. Invoice :],pajak[//]-offset))</f>
        <v>AM 23030007</v>
      </c>
      <c r="F9" s="90">
        <f>IF(pajak[[#This Row],[//]]="","",INDEX(Table1[Tgl Invoice :],pajak[//]-offset))</f>
        <v>44992</v>
      </c>
      <c r="G9" t="str">
        <f>IF(pajak[[#This Row],[//]]="","",INDEX(Table1[Kode Sales :],pajak[//]-offset))</f>
        <v>KO 2909</v>
      </c>
      <c r="H9" t="str">
        <f>IF(pajak[[#This Row],[//]]="","",INDEX(Table1[Toko],pajak[//]-offset))</f>
        <v>HARNOYO (BENDAN) PEKALONGAN</v>
      </c>
      <c r="I9" s="89">
        <f ca="1">IF(pajak[[#This Row],[//]]="","",SUMIF(Table1[h_id],pajak[[#This Row],[//]],Table1[h_hargasebelumdiskon]))</f>
        <v>7950000</v>
      </c>
      <c r="J9" s="89">
        <f ca="1">IF(pajak[[#This Row],[//]]="","",SUMIF(Table1[h_id],pajak[[#This Row],[//]],Table1[h_diskon]))</f>
        <v>0</v>
      </c>
      <c r="K9" s="89">
        <f ca="1">IF(pajak[[#This Row],[//]]="","",SUMIF(Table1[h_id],pajak[[#This Row],[//]],Table1[h_hargasetelahdiskon]))</f>
        <v>7950000</v>
      </c>
      <c r="L9" s="89">
        <f ca="1">IF(pajak[//]="","",pajak[[#This Row],[Sub Total]]/1.11*11%)</f>
        <v>787837.83783783775</v>
      </c>
      <c r="M9" s="89">
        <f ca="1">pajak[[#This Row],[Sub Total]]</f>
        <v>7950000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 ca="1">IF(INDEX([2]Invoice!$K:$K,Table4[[#This Row],[cek_rekap(share)]])=pajak[[#This Row],[Total Invoice]],"-",FALSE)</f>
        <v>-</v>
      </c>
    </row>
    <row r="10" spans="1:23" x14ac:dyDescent="0.25">
      <c r="A10" s="88">
        <v>22</v>
      </c>
      <c r="D10">
        <f t="shared" si="0"/>
        <v>22</v>
      </c>
      <c r="E10" t="str">
        <f>IF(pajak[[#This Row],[//]]="","",INDEX(Table1[No. Invoice :],pajak[//]-offset))</f>
        <v>AM 23030008</v>
      </c>
      <c r="F10" s="90">
        <f>IF(pajak[[#This Row],[//]]="","",INDEX(Table1[Tgl Invoice :],pajak[//]-offset))</f>
        <v>44993</v>
      </c>
      <c r="G10" t="str">
        <f>IF(pajak[[#This Row],[//]]="","",INDEX(Table1[Kode Sales :],pajak[//]-offset))</f>
        <v>KO 1009</v>
      </c>
      <c r="H10" t="str">
        <f>IF(pajak[[#This Row],[//]]="","",INDEX(Table1[Toko],pajak[//]-offset))</f>
        <v>SOEYANTO LOPULUSI ( LANCAR ) MALANG</v>
      </c>
      <c r="I10" s="89">
        <f ca="1">IF(pajak[[#This Row],[//]]="","",SUMIF(Table1[h_id],pajak[[#This Row],[//]],Table1[h_hargasebelumdiskon]))</f>
        <v>3052800</v>
      </c>
      <c r="J10" s="89">
        <f ca="1">IF(pajak[[#This Row],[//]]="","",SUMIF(Table1[h_id],pajak[[#This Row],[//]],Table1[h_diskon]))</f>
        <v>381600</v>
      </c>
      <c r="K10" s="89">
        <f ca="1">IF(pajak[[#This Row],[//]]="","",SUMIF(Table1[h_id],pajak[[#This Row],[//]],Table1[h_hargasetelahdiskon]))</f>
        <v>2671200</v>
      </c>
      <c r="L10" s="89">
        <f ca="1">IF(pajak[//]="","",pajak[[#This Row],[Sub Total]]/1.11*11%)</f>
        <v>264713.51351351349</v>
      </c>
      <c r="M10" s="89">
        <f ca="1">pajak[[#This Row],[Sub Total]]</f>
        <v>2671200</v>
      </c>
      <c r="N10" s="86" t="str">
        <f>IF(pajak[[#This Row],[//]]="","",INDEX(Table1[pembuat nota :],pajak[//]-offset))</f>
        <v>NOVI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 ca="1">IF(INDEX([2]Invoice!$K:$K,Table4[[#This Row],[cek_rekap(share)]])=pajak[[#This Row],[Total Invoice]],"-",FALSE)</f>
        <v>-</v>
      </c>
    </row>
    <row r="11" spans="1:23" x14ac:dyDescent="0.25">
      <c r="A11" s="88">
        <v>24</v>
      </c>
      <c r="D11">
        <f t="shared" si="0"/>
        <v>24</v>
      </c>
      <c r="E11" t="str">
        <f>IF(pajak[[#This Row],[//]]="","",INDEX(Table1[No. Invoice :],pajak[//]-offset))</f>
        <v>AM 23030009</v>
      </c>
      <c r="F11" s="90">
        <f>IF(pajak[[#This Row],[//]]="","",INDEX(Table1[Tgl Invoice :],pajak[//]-offset))</f>
        <v>44994</v>
      </c>
      <c r="G11" t="str">
        <f>IF(pajak[[#This Row],[//]]="","",INDEX(Table1[Kode Sales :],pajak[//]-offset))</f>
        <v>KO 0734</v>
      </c>
      <c r="H11" t="str">
        <f>IF(pajak[[#This Row],[//]]="","",INDEX(Table1[Toko],pajak[//]-offset))</f>
        <v>SOEYANTO LOPULUSI ( LANCAR ) MALANG</v>
      </c>
      <c r="I11" s="89">
        <f ca="1">IF(pajak[[#This Row],[//]]="","",SUMIF(Table1[h_id],pajak[[#This Row],[//]],Table1[h_hargasebelumdiskon]))</f>
        <v>9714000</v>
      </c>
      <c r="J11" s="89">
        <f ca="1">IF(pajak[[#This Row],[//]]="","",SUMIF(Table1[h_id],pajak[[#This Row],[//]],Table1[h_diskon]))</f>
        <v>1214250</v>
      </c>
      <c r="K11" s="89">
        <f ca="1">IF(pajak[[#This Row],[//]]="","",SUMIF(Table1[h_id],pajak[[#This Row],[//]],Table1[h_hargasetelahdiskon]))</f>
        <v>8499750</v>
      </c>
      <c r="L11" s="89">
        <f ca="1">IF(pajak[//]="","",pajak[[#This Row],[Sub Total]]/1.11*11%)</f>
        <v>842317.56756756746</v>
      </c>
      <c r="M11" s="89">
        <f ca="1">pajak[[#This Row],[Sub Total]]</f>
        <v>8499750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 ca="1">IF(INDEX([2]Invoice!$K:$K,Table4[[#This Row],[cek_rekap(share)]])=pajak[[#This Row],[Total Invoice]],"-",FALSE)</f>
        <v>-</v>
      </c>
    </row>
    <row r="12" spans="1:23" x14ac:dyDescent="0.25">
      <c r="A12" s="88">
        <v>27</v>
      </c>
      <c r="D12" s="86">
        <f t="shared" si="0"/>
        <v>27</v>
      </c>
      <c r="E12" s="86" t="str">
        <f>IF(pajak[[#This Row],[//]]="","",INDEX(Table1[No. Invoice :],pajak[//]-offset))</f>
        <v>AM 23030010</v>
      </c>
      <c r="F12" s="90">
        <f>IF(pajak[[#This Row],[//]]="","",INDEX(Table1[Tgl Invoice :],pajak[//]-offset))</f>
        <v>44995</v>
      </c>
      <c r="G12" s="86" t="str">
        <f>IF(pajak[[#This Row],[//]]="","",INDEX(Table1[Kode Sales :],pajak[//]-offset))</f>
        <v>KO 1224</v>
      </c>
      <c r="H12" s="86" t="str">
        <f>IF(pajak[[#This Row],[//]]="","",INDEX(Table1[Toko],pajak[//]-offset))</f>
        <v>CV TRINITY CENTRAAL PURWOKERTO</v>
      </c>
      <c r="I12" s="89">
        <f ca="1">IF(pajak[[#This Row],[//]]="","",SUMIF(Table1[h_id],pajak[[#This Row],[//]],Table1[h_hargasebelumdiskon]))</f>
        <v>1252800</v>
      </c>
      <c r="J12" s="89">
        <f ca="1">IF(pajak[[#This Row],[//]]="","",SUMIF(Table1[h_id],pajak[[#This Row],[//]],Table1[h_diskon]))</f>
        <v>162864</v>
      </c>
      <c r="K12" s="89">
        <f ca="1">IF(pajak[[#This Row],[//]]="","",SUMIF(Table1[h_id],pajak[[#This Row],[//]],Table1[h_hargasetelahdiskon]))</f>
        <v>1089936</v>
      </c>
      <c r="L12" s="89">
        <f ca="1">IF(pajak[//]="","",pajak[[#This Row],[Sub Total]]/1.11*11%)</f>
        <v>108011.67567567567</v>
      </c>
      <c r="M12" s="89">
        <f ca="1">pajak[[#This Row],[Sub Total]]</f>
        <v>1089936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 ca="1">IF(INDEX([2]Invoice!$K:$K,Table4[[#This Row],[cek_rekap(share)]])=pajak[[#This Row],[Total Invoice]],"-",FALSE)</f>
        <v>-</v>
      </c>
    </row>
    <row r="13" spans="1:23" x14ac:dyDescent="0.25">
      <c r="A13" s="88">
        <v>29</v>
      </c>
      <c r="D13" s="86">
        <f t="shared" si="0"/>
        <v>29</v>
      </c>
      <c r="E13" s="86" t="str">
        <f>IF(pajak[[#This Row],[//]]="","",INDEX(Table1[No. Invoice :],pajak[//]-offset))</f>
        <v>AM 23030011</v>
      </c>
      <c r="F13" s="90">
        <f>IF(pajak[[#This Row],[//]]="","",INDEX(Table1[Tgl Invoice :],pajak[//]-offset))</f>
        <v>44996</v>
      </c>
      <c r="G13" s="86" t="str">
        <f>IF(pajak[[#This Row],[//]]="","",INDEX(Table1[Kode Sales :],pajak[//]-offset))</f>
        <v>G 2966</v>
      </c>
      <c r="H13" s="86" t="str">
        <f>IF(pajak[[#This Row],[//]]="","",INDEX(Table1[Toko],pajak[//]-offset))</f>
        <v>CV UTAMA PUTRA TULUNG AGUNG</v>
      </c>
      <c r="I13" s="89">
        <f ca="1">IF(pajak[[#This Row],[//]]="","",SUMIF(Table1[h_id],pajak[[#This Row],[//]],Table1[h_hargasebelumdiskon]))</f>
        <v>1365000</v>
      </c>
      <c r="J13" s="89">
        <f ca="1">IF(pajak[[#This Row],[//]]="","",SUMIF(Table1[h_id],pajak[[#This Row],[//]],Table1[h_diskon]))</f>
        <v>170625</v>
      </c>
      <c r="K13" s="89">
        <f ca="1">IF(pajak[[#This Row],[//]]="","",SUMIF(Table1[h_id],pajak[[#This Row],[//]],Table1[h_hargasetelahdiskon]))</f>
        <v>1194375</v>
      </c>
      <c r="L13" s="89">
        <f ca="1">IF(pajak[//]="","",pajak[[#This Row],[Sub Total]]/1.11*11%)</f>
        <v>118361.48648648646</v>
      </c>
      <c r="M13" s="89">
        <f ca="1">pajak[[#This Row],[Sub Total]]</f>
        <v>1194375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 ca="1">IF(INDEX([2]Invoice!$K:$K,Table4[[#This Row],[cek_rekap(share)]])=pajak[[#This Row],[Total Invoice]],"-",FALSE)</f>
        <v>-</v>
      </c>
    </row>
    <row r="14" spans="1:23" x14ac:dyDescent="0.25">
      <c r="A14" s="88"/>
      <c r="D14" s="86" t="str">
        <f t="shared" si="0"/>
        <v/>
      </c>
      <c r="E14" s="86" t="str">
        <f>IF(pajak[[#This Row],[//]]="","",INDEX(Table1[No. Invoice :],pajak[//]-offset))</f>
        <v/>
      </c>
      <c r="F14" s="90" t="str">
        <f>IF(pajak[[#This Row],[//]]="","",INDEX(Table1[Tgl Invoice :],pajak[//]-offset))</f>
        <v/>
      </c>
      <c r="G14" s="86" t="str">
        <f>IF(pajak[[#This Row],[//]]="","",INDEX(Table1[Kode Sales :],pajak[//]-offset))</f>
        <v/>
      </c>
      <c r="H14" s="86" t="str">
        <f>IF(pajak[[#This Row],[//]]="","",INDEX(Table1[Toko],pajak[//]-offset))</f>
        <v/>
      </c>
      <c r="I14" s="89" t="str">
        <f>IF(pajak[[#This Row],[//]]="","",SUMIF(Table1[h_id],pajak[[#This Row],[//]],Table1[h_hargasebelumdiskon]))</f>
        <v/>
      </c>
      <c r="J14" s="89" t="str">
        <f>IF(pajak[[#This Row],[//]]="","",SUMIF(Table1[h_id],pajak[[#This Row],[//]],Table1[h_diskon]))</f>
        <v/>
      </c>
      <c r="K14" s="89" t="str">
        <f>IF(pajak[[#This Row],[//]]="","",SUMIF(Table1[h_id],pajak[[#This Row],[//]],Table1[h_hargasetelahdiskon]))</f>
        <v/>
      </c>
      <c r="L14" s="89" t="str">
        <f>IF(pajak[//]="","",pajak[[#This Row],[Sub Total]]/1.11*11%)</f>
        <v/>
      </c>
      <c r="M14" s="89" t="str">
        <f>pajak[[#This Row],[Sub Total]]</f>
        <v/>
      </c>
      <c r="N14" s="86" t="str">
        <f>IF(pajak[[#This Row],[//]]="","",INDEX(Table1[pembuat nota :],pajak[//]-offset))</f>
        <v/>
      </c>
      <c r="O14" s="86" t="str">
        <f>IF(pajak[[#This Row],[//]]="","",IF(INDEX(Table1[edited :],pajak[//]-offset)="","",INDEX(Table1[edited :],pajak[//]-offset)))</f>
        <v/>
      </c>
      <c r="R14" t="str">
        <f>IF(pajak[[#This Row],[Kode Sales :]]="","",MATCH(pajak[[#This Row],[Kode Sales :]],[2]Invoice!$D:$D,0))</f>
        <v/>
      </c>
      <c r="S14" t="e">
        <f>Table4[[#This Row],[cek_ppn]]+28</f>
        <v>#VALUE!</v>
      </c>
      <c r="T14" s="86" t="e">
        <f>IF(INDEX([2]Invoice!$K:$K,Table4[[#This Row],[cek_rekap(share)]])=pajak[[#This Row],[Total Invoice]],"-",FALSE)</f>
        <v>#VALUE!</v>
      </c>
    </row>
    <row r="15" spans="1:23" x14ac:dyDescent="0.25">
      <c r="A15" s="88" t="s">
        <v>55</v>
      </c>
      <c r="D15" s="86" t="str">
        <f t="shared" ref="D15:D27" si="1">IF(ROW()-2&lt;=jNota,A15,"")</f>
        <v/>
      </c>
      <c r="E15" s="86" t="str">
        <f>IF(pajak[[#This Row],[//]]="","",INDEX(Table1[No. Invoice :],pajak[//]-offset))</f>
        <v/>
      </c>
      <c r="F15" s="90" t="str">
        <f>IF(pajak[[#This Row],[//]]="","",INDEX(Table1[Tgl Invoice :],pajak[//]-offset))</f>
        <v/>
      </c>
      <c r="G15" s="86" t="str">
        <f>IF(pajak[[#This Row],[//]]="","",INDEX(Table1[Kode Sales :],pajak[//]-offset))</f>
        <v/>
      </c>
      <c r="H15" s="86" t="str">
        <f>IF(pajak[[#This Row],[//]]="","",INDEX(Table1[Toko],pajak[//]-offset))</f>
        <v/>
      </c>
      <c r="I15" s="89" t="str">
        <f>IF(pajak[[#This Row],[//]]="","",SUMIF(Table1[h_id],pajak[[#This Row],[//]],Table1[h_hargasebelumdiskon]))</f>
        <v/>
      </c>
      <c r="J15" s="89" t="str">
        <f>IF(pajak[[#This Row],[//]]="","",SUMIF(Table1[h_id],pajak[[#This Row],[//]],Table1[h_diskon]))</f>
        <v/>
      </c>
      <c r="K15" s="89" t="str">
        <f>IF(pajak[[#This Row],[//]]="","",SUMIF(Table1[h_id],pajak[[#This Row],[//]],Table1[h_hargasetelahdiskon]))</f>
        <v/>
      </c>
      <c r="L15" s="89" t="str">
        <f>IF(pajak[//]="","",pajak[[#This Row],[Sub Total]]/1.11*11%)</f>
        <v/>
      </c>
      <c r="M15" s="89" t="str">
        <f>pajak[[#This Row],[Sub Total]]</f>
        <v/>
      </c>
      <c r="N15" s="86" t="str">
        <f>IF(pajak[[#This Row],[//]]="","",INDEX(Table1[pembuat nota :],pajak[//]-offset))</f>
        <v/>
      </c>
      <c r="O15" s="86" t="str">
        <f>IF(pajak[[#This Row],[//]]="","",IF(INDEX(Table1[edited :],pajak[//]-offset)="","",INDEX(Table1[edited :],pajak[//]-offset)))</f>
        <v/>
      </c>
      <c r="R15" t="str">
        <f>IF(pajak[[#This Row],[Kode Sales :]]="","",MATCH(pajak[[#This Row],[Kode Sales :]],[2]Invoice!$D:$D,0))</f>
        <v/>
      </c>
      <c r="S15" t="e">
        <f>Table4[[#This Row],[cek_ppn]]+28</f>
        <v>#VALUE!</v>
      </c>
      <c r="T15" s="86" t="e">
        <f>IF(INDEX([2]Invoice!$K:$K,Table4[[#This Row],[cek_rekap(share)]])=pajak[[#This Row],[Total Invoice]],"-",FALSE)</f>
        <v>#VALUE!</v>
      </c>
    </row>
    <row r="16" spans="1:23" x14ac:dyDescent="0.25">
      <c r="D16" s="86" t="str">
        <f t="shared" si="1"/>
        <v/>
      </c>
      <c r="E16" s="86" t="str">
        <f>IF(pajak[[#This Row],[//]]="","",INDEX(Table1[No. Invoice :],pajak[//]-offset))</f>
        <v/>
      </c>
      <c r="F16" s="90" t="str">
        <f>IF(pajak[[#This Row],[//]]="","",INDEX(Table1[Tgl Invoice :],pajak[//]-offset))</f>
        <v/>
      </c>
      <c r="G16" s="86" t="str">
        <f>IF(pajak[[#This Row],[//]]="","",INDEX(Table1[Kode Sales :],pajak[//]-offset))</f>
        <v/>
      </c>
      <c r="H16" s="86" t="str">
        <f>IF(pajak[[#This Row],[//]]="","",INDEX(Table1[Toko],pajak[//]-offset))</f>
        <v/>
      </c>
      <c r="I16" s="89" t="str">
        <f>IF(pajak[[#This Row],[//]]="","",SUMIF(Table1[h_id],pajak[[#This Row],[//]],Table1[h_hargasebelumdiskon]))</f>
        <v/>
      </c>
      <c r="J16" s="89" t="str">
        <f>IF(pajak[[#This Row],[//]]="","",SUMIF(Table1[h_id],pajak[[#This Row],[//]],Table1[h_diskon]))</f>
        <v/>
      </c>
      <c r="K16" s="89" t="str">
        <f>IF(pajak[[#This Row],[//]]="","",SUMIF(Table1[h_id],pajak[[#This Row],[//]],Table1[h_hargasetelahdiskon]))</f>
        <v/>
      </c>
      <c r="L16" s="89" t="str">
        <f>IF(pajak[//]="","",pajak[[#This Row],[Sub Total]]/1.11*11%)</f>
        <v/>
      </c>
      <c r="M16" s="89" t="str">
        <f>pajak[[#This Row],[Sub Total]]</f>
        <v/>
      </c>
      <c r="N16" s="86" t="str">
        <f>IF(pajak[[#This Row],[//]]="","",INDEX(Table1[pembuat nota :],pajak[//]-offset))</f>
        <v/>
      </c>
      <c r="O16" s="86" t="str">
        <f>IF(pajak[[#This Row],[//]]="","",IF(INDEX(Table1[edited :],pajak[//]-offset)="","",INDEX(Table1[edited :],pajak[//]-offset)))</f>
        <v/>
      </c>
      <c r="R16" t="str">
        <f>IF(pajak[[#This Row],[Kode Sales :]]="","",MATCH(pajak[[#This Row],[Kode Sales :]],[2]Invoice!$D:$D,0))</f>
        <v/>
      </c>
      <c r="S16" t="e">
        <f>Table4[[#This Row],[cek_ppn]]+28</f>
        <v>#VALUE!</v>
      </c>
      <c r="T16" s="86" t="e">
        <f>IF(INDEX([2]Invoice!$K:$K,Table4[[#This Row],[cek_rekap(share)]])=pajak[[#This Row],[Total Invoice]],"-",FALSE)</f>
        <v>#VALUE!</v>
      </c>
    </row>
    <row r="17" spans="2:20" x14ac:dyDescent="0.25">
      <c r="D17" s="86" t="str">
        <f t="shared" si="1"/>
        <v/>
      </c>
      <c r="E17" s="86" t="str">
        <f>IF(pajak[[#This Row],[//]]="","",INDEX(Table1[No. Invoice :],pajak[//]-offset))</f>
        <v/>
      </c>
      <c r="F17" s="90" t="str">
        <f>IF(pajak[[#This Row],[//]]="","",INDEX(Table1[Tgl Invoice :],pajak[//]-offset))</f>
        <v/>
      </c>
      <c r="G17" s="86" t="str">
        <f>IF(pajak[[#This Row],[//]]="","",INDEX(Table1[Kode Sales :],pajak[//]-offset))</f>
        <v/>
      </c>
      <c r="H17" s="86" t="str">
        <f>IF(pajak[[#This Row],[//]]="","",INDEX(Table1[Toko],pajak[//]-offset))</f>
        <v/>
      </c>
      <c r="I17" s="89" t="str">
        <f>IF(pajak[[#This Row],[//]]="","",SUMIF(Table1[h_id],pajak[[#This Row],[//]],Table1[h_hargasebelumdiskon]))</f>
        <v/>
      </c>
      <c r="J17" s="89" t="str">
        <f>IF(pajak[[#This Row],[//]]="","",SUMIF(Table1[h_id],pajak[[#This Row],[//]],Table1[h_diskon]))</f>
        <v/>
      </c>
      <c r="K17" s="89" t="str">
        <f>IF(pajak[[#This Row],[//]]="","",SUMIF(Table1[h_id],pajak[[#This Row],[//]],Table1[h_hargasetelahdiskon]))</f>
        <v/>
      </c>
      <c r="L17" s="89" t="str">
        <f>IF(pajak[//]="","",pajak[[#This Row],[Sub Total]]/1.11*11%)</f>
        <v/>
      </c>
      <c r="M17" s="89" t="str">
        <f>pajak[[#This Row],[Sub Total]]</f>
        <v/>
      </c>
      <c r="N17" s="86" t="str">
        <f>IF(pajak[[#This Row],[//]]="","",INDEX(Table1[pembuat nota :],pajak[//]-offset))</f>
        <v/>
      </c>
      <c r="O17" s="86" t="str">
        <f>IF(pajak[[#This Row],[//]]="","",IF(INDEX(Table1[edited :],pajak[//]-offset)="","",INDEX(Table1[edited :],pajak[//]-offset)))</f>
        <v/>
      </c>
      <c r="R17" t="str">
        <f>IF(pajak[[#This Row],[Kode Sales :]]="","",MATCH(pajak[[#This Row],[Kode Sales :]],[2]Invoice!$D:$D,0))</f>
        <v/>
      </c>
      <c r="S17" t="e">
        <f>Table4[[#This Row],[cek_ppn]]+28</f>
        <v>#VALUE!</v>
      </c>
      <c r="T17" s="86" t="e">
        <f>IF(INDEX([2]Invoice!$K:$K,Table4[[#This Row],[cek_rekap(share)]])=pajak[[#This Row],[Total Invoice]],"-",FALSE)</f>
        <v>#VALUE!</v>
      </c>
    </row>
    <row r="18" spans="2:20" x14ac:dyDescent="0.25">
      <c r="D18" s="86" t="str">
        <f t="shared" si="1"/>
        <v/>
      </c>
      <c r="E18" s="86" t="str">
        <f>IF(pajak[[#This Row],[//]]="","",INDEX(Table1[No. Invoice :],pajak[//]-offset))</f>
        <v/>
      </c>
      <c r="F18" s="90" t="str">
        <f>IF(pajak[[#This Row],[//]]="","",INDEX(Table1[Tgl Invoice :],pajak[//]-offset))</f>
        <v/>
      </c>
      <c r="G18" s="86" t="str">
        <f>IF(pajak[[#This Row],[//]]="","",INDEX(Table1[Kode Sales :],pajak[//]-offset))</f>
        <v/>
      </c>
      <c r="H18" s="86" t="str">
        <f>IF(pajak[[#This Row],[//]]="","",INDEX(Table1[Toko],pajak[//]-offset))</f>
        <v/>
      </c>
      <c r="I18" s="89" t="str">
        <f>IF(pajak[[#This Row],[//]]="","",SUMIF(Table1[h_id],pajak[[#This Row],[//]],Table1[h_hargasebelumdiskon]))</f>
        <v/>
      </c>
      <c r="J18" s="89" t="str">
        <f>IF(pajak[[#This Row],[//]]="","",SUMIF(Table1[h_id],pajak[[#This Row],[//]],Table1[h_diskon]))</f>
        <v/>
      </c>
      <c r="K18" s="89" t="str">
        <f>IF(pajak[[#This Row],[//]]="","",SUMIF(Table1[h_id],pajak[[#This Row],[//]],Table1[h_hargasetelahdiskon]))</f>
        <v/>
      </c>
      <c r="L18" s="89" t="str">
        <f>IF(pajak[//]="","",pajak[[#This Row],[Sub Total]]/1.11*11%)</f>
        <v/>
      </c>
      <c r="M18" s="89" t="str">
        <f>pajak[[#This Row],[Sub Total]]</f>
        <v/>
      </c>
      <c r="N18" s="86" t="str">
        <f>IF(pajak[[#This Row],[//]]="","",INDEX(Table1[pembuat nota :],pajak[//]-offset))</f>
        <v/>
      </c>
      <c r="O18" s="86" t="str">
        <f>IF(pajak[[#This Row],[//]]="","",IF(INDEX(Table1[edited :],pajak[//]-offset)="","",INDEX(Table1[edited :],pajak[//]-offset)))</f>
        <v/>
      </c>
      <c r="R18" t="str">
        <f>IF(pajak[[#This Row],[Kode Sales :]]="","",MATCH(pajak[[#This Row],[Kode Sales :]],[2]Invoice!$D:$D,0))</f>
        <v/>
      </c>
      <c r="S18" t="e">
        <f>Table4[[#This Row],[cek_ppn]]+28</f>
        <v>#VALUE!</v>
      </c>
      <c r="T18" s="86" t="e">
        <f>IF(INDEX([2]Invoice!$K:$K,Table4[[#This Row],[cek_rekap(share)]])=pajak[[#This Row],[Total Invoice]],"-",FALSE)</f>
        <v>#VALUE!</v>
      </c>
    </row>
    <row r="19" spans="2:20" x14ac:dyDescent="0.25">
      <c r="D19" s="86" t="str">
        <f t="shared" si="1"/>
        <v/>
      </c>
      <c r="E19" s="86" t="str">
        <f>IF(pajak[[#This Row],[//]]="","",INDEX(Table1[No. Invoice :],pajak[//]-offset))</f>
        <v/>
      </c>
      <c r="F19" s="90" t="str">
        <f>IF(pajak[[#This Row],[//]]="","",INDEX(Table1[Tgl Invoice :],pajak[//]-offset))</f>
        <v/>
      </c>
      <c r="G19" s="86" t="str">
        <f>IF(pajak[[#This Row],[//]]="","",INDEX(Table1[Kode Sales :],pajak[//]-offset))</f>
        <v/>
      </c>
      <c r="H19" s="86" t="str">
        <f>IF(pajak[[#This Row],[//]]="","",INDEX(Table1[Toko],pajak[//]-offset))</f>
        <v/>
      </c>
      <c r="I19" s="89" t="str">
        <f>IF(pajak[[#This Row],[//]]="","",SUMIF(Table1[h_id],pajak[[#This Row],[//]],Table1[h_hargasebelumdiskon]))</f>
        <v/>
      </c>
      <c r="J19" s="89" t="str">
        <f>IF(pajak[[#This Row],[//]]="","",SUMIF(Table1[h_id],pajak[[#This Row],[//]],Table1[h_diskon]))</f>
        <v/>
      </c>
      <c r="K19" s="89" t="str">
        <f>IF(pajak[[#This Row],[//]]="","",SUMIF(Table1[h_id],pajak[[#This Row],[//]],Table1[h_hargasetelahdiskon]))</f>
        <v/>
      </c>
      <c r="L19" s="89" t="str">
        <f>IF(pajak[//]="","",pajak[[#This Row],[Sub Total]]/1.11*11%)</f>
        <v/>
      </c>
      <c r="M19" s="89" t="str">
        <f>pajak[[#This Row],[Sub Total]]</f>
        <v/>
      </c>
      <c r="N19" s="86" t="str">
        <f>IF(pajak[[#This Row],[//]]="","",INDEX(Table1[pembuat nota :],pajak[//]-offset))</f>
        <v/>
      </c>
      <c r="O19" s="86" t="str">
        <f>IF(pajak[[#This Row],[//]]="","",IF(INDEX(Table1[edited :],pajak[//]-offset)="","",INDEX(Table1[edited :],pajak[//]-offset)))</f>
        <v/>
      </c>
      <c r="R19" t="str">
        <f>IF(pajak[[#This Row],[Kode Sales :]]="","",MATCH(pajak[[#This Row],[Kode Sales :]],[2]Invoice!$D:$D,0))</f>
        <v/>
      </c>
      <c r="S19" t="e">
        <f>Table4[[#This Row],[cek_ppn]]+28</f>
        <v>#VALUE!</v>
      </c>
      <c r="T19" s="86" t="e">
        <f>IF(INDEX([2]Invoice!$K:$K,Table4[[#This Row],[cek_rekap(share)]])=pajak[[#This Row],[Total Invoice]],"-",FALSE)</f>
        <v>#VALUE!</v>
      </c>
    </row>
    <row r="20" spans="2:20" x14ac:dyDescent="0.25">
      <c r="B20" s="88"/>
      <c r="D20" s="86" t="str">
        <f t="shared" si="1"/>
        <v/>
      </c>
      <c r="E20" s="86" t="str">
        <f>IF(pajak[[#This Row],[//]]="","",INDEX(Table1[No. Invoice :],pajak[//]-offset))</f>
        <v/>
      </c>
      <c r="F20" s="90" t="str">
        <f>IF(pajak[[#This Row],[//]]="","",INDEX(Table1[Tgl Invoice :],pajak[//]-offset))</f>
        <v/>
      </c>
      <c r="G20" s="86" t="str">
        <f>IF(pajak[[#This Row],[//]]="","",INDEX(Table1[Kode Sales :],pajak[//]-offset))</f>
        <v/>
      </c>
      <c r="H20" s="86" t="str">
        <f>IF(pajak[[#This Row],[//]]="","",INDEX(Table1[Toko],pajak[//]-offset))</f>
        <v/>
      </c>
      <c r="I20" s="89" t="str">
        <f>IF(pajak[[#This Row],[//]]="","",SUMIF(Table1[h_id],pajak[[#This Row],[//]],Table1[h_hargasebelumdiskon]))</f>
        <v/>
      </c>
      <c r="J20" s="89" t="str">
        <f>IF(pajak[[#This Row],[//]]="","",SUMIF(Table1[h_id],pajak[[#This Row],[//]],Table1[h_diskon]))</f>
        <v/>
      </c>
      <c r="K20" s="89" t="str">
        <f>IF(pajak[[#This Row],[//]]="","",SUMIF(Table1[h_id],pajak[[#This Row],[//]],Table1[h_hargasetelahdiskon]))</f>
        <v/>
      </c>
      <c r="L20" s="89" t="str">
        <f>IF(pajak[//]="","",pajak[[#This Row],[Sub Total]]/1.11*11%)</f>
        <v/>
      </c>
      <c r="M20" s="89" t="str">
        <f>pajak[[#This Row],[Sub Total]]</f>
        <v/>
      </c>
      <c r="N20" s="86" t="str">
        <f>IF(pajak[[#This Row],[//]]="","",INDEX(Table1[pembuat nota :],pajak[//]-offset))</f>
        <v/>
      </c>
      <c r="O20" s="86" t="str">
        <f>IF(pajak[[#This Row],[//]]="","",IF(INDEX(Table1[edited :],pajak[//]-offset)="","",INDEX(Table1[edited :],pajak[//]-offset)))</f>
        <v/>
      </c>
      <c r="R20" t="str">
        <f>IF(pajak[[#This Row],[Kode Sales :]]="","",MATCH(pajak[[#This Row],[Kode Sales :]],[2]Invoice!$D:$D,0))</f>
        <v/>
      </c>
      <c r="S20" t="e">
        <f>Table4[[#This Row],[cek_ppn]]+28</f>
        <v>#VALUE!</v>
      </c>
      <c r="T20" s="86" t="e">
        <f>IF(INDEX([2]Invoice!$K:$K,Table4[[#This Row],[cek_rekap(share)]])=pajak[[#This Row],[Total Invoice]],"-",FALSE)</f>
        <v>#VALUE!</v>
      </c>
    </row>
    <row r="21" spans="2:20" x14ac:dyDescent="0.25">
      <c r="B21" s="88"/>
      <c r="D21" s="86" t="str">
        <f t="shared" si="1"/>
        <v/>
      </c>
      <c r="E21" s="86" t="str">
        <f>IF(pajak[[#This Row],[//]]="","",INDEX(Table1[No. Invoice :],pajak[//]-offset))</f>
        <v/>
      </c>
      <c r="F21" s="90" t="str">
        <f>IF(pajak[[#This Row],[//]]="","",INDEX(Table1[Tgl Invoice :],pajak[//]-offset))</f>
        <v/>
      </c>
      <c r="G21" s="86" t="str">
        <f>IF(pajak[[#This Row],[//]]="","",INDEX(Table1[Kode Sales :],pajak[//]-offset))</f>
        <v/>
      </c>
      <c r="H21" s="86" t="str">
        <f>IF(pajak[[#This Row],[//]]="","",INDEX(Table1[Toko],pajak[//]-offset))</f>
        <v/>
      </c>
      <c r="I21" s="89" t="str">
        <f>IF(pajak[[#This Row],[//]]="","",SUMIF(Table1[h_id],pajak[[#This Row],[//]],Table1[h_hargasebelumdiskon]))</f>
        <v/>
      </c>
      <c r="J21" s="89" t="str">
        <f>IF(pajak[[#This Row],[//]]="","",SUMIF(Table1[h_id],pajak[[#This Row],[//]],Table1[h_diskon]))</f>
        <v/>
      </c>
      <c r="K21" s="89" t="str">
        <f>IF(pajak[[#This Row],[//]]="","",SUMIF(Table1[h_id],pajak[[#This Row],[//]],Table1[h_hargasetelahdiskon]))</f>
        <v/>
      </c>
      <c r="L21" s="89" t="str">
        <f>IF(pajak[//]="","",pajak[[#This Row],[Sub Total]]/1.11*11%)</f>
        <v/>
      </c>
      <c r="M21" s="89" t="str">
        <f>pajak[[#This Row],[Sub Total]]</f>
        <v/>
      </c>
      <c r="N21" s="86" t="str">
        <f>IF(pajak[[#This Row],[//]]="","",INDEX(Table1[pembuat nota :],pajak[//]-offset))</f>
        <v/>
      </c>
      <c r="O21" s="86" t="str">
        <f>IF(pajak[[#This Row],[//]]="","",IF(INDEX(Table1[edited :],pajak[//]-offset)="","",INDEX(Table1[edited :],pajak[//]-offset)))</f>
        <v/>
      </c>
      <c r="R21" t="str">
        <f>IF(pajak[[#This Row],[Kode Sales :]]="","",MATCH(pajak[[#This Row],[Kode Sales :]],[2]Invoice!$D:$D,0))</f>
        <v/>
      </c>
      <c r="S21" t="e">
        <f>Table4[[#This Row],[cek_ppn]]+28</f>
        <v>#VALUE!</v>
      </c>
      <c r="T21" s="86" t="e">
        <f>IF(INDEX([2]Invoice!$K:$K,Table4[[#This Row],[cek_rekap(share)]])=pajak[[#This Row],[Total Invoice]],"-",FALSE)</f>
        <v>#VALUE!</v>
      </c>
    </row>
    <row r="22" spans="2:20" x14ac:dyDescent="0.25">
      <c r="B22" s="88"/>
      <c r="D22" s="86" t="str">
        <f t="shared" si="1"/>
        <v/>
      </c>
      <c r="E22" s="86" t="str">
        <f>IF(pajak[[#This Row],[//]]="","",INDEX(Table1[No. Invoice :],pajak[//]-offset))</f>
        <v/>
      </c>
      <c r="F22" s="90" t="str">
        <f>IF(pajak[[#This Row],[//]]="","",INDEX(Table1[Tgl Invoice :],pajak[//]-offset))</f>
        <v/>
      </c>
      <c r="G22" s="86" t="str">
        <f>IF(pajak[[#This Row],[//]]="","",INDEX(Table1[Kode Sales :],pajak[//]-offset))</f>
        <v/>
      </c>
      <c r="H22" s="86" t="str">
        <f>IF(pajak[[#This Row],[//]]="","",INDEX(Table1[Toko],pajak[//]-offset))</f>
        <v/>
      </c>
      <c r="I22" s="89" t="str">
        <f>IF(pajak[[#This Row],[//]]="","",SUMIF(Table1[h_id],pajak[[#This Row],[//]],Table1[h_hargasebelumdiskon]))</f>
        <v/>
      </c>
      <c r="J22" s="89" t="str">
        <f>IF(pajak[[#This Row],[//]]="","",SUMIF(Table1[h_id],pajak[[#This Row],[//]],Table1[h_diskon]))</f>
        <v/>
      </c>
      <c r="K22" s="89" t="str">
        <f>IF(pajak[[#This Row],[//]]="","",SUMIF(Table1[h_id],pajak[[#This Row],[//]],Table1[h_hargasetelahdiskon]))</f>
        <v/>
      </c>
      <c r="L22" s="89" t="str">
        <f>IF(pajak[//]="","",pajak[[#This Row],[Sub Total]]/1.11*11%)</f>
        <v/>
      </c>
      <c r="M22" s="89" t="str">
        <f>pajak[[#This Row],[Sub Total]]</f>
        <v/>
      </c>
      <c r="N22" s="86" t="str">
        <f>IF(pajak[[#This Row],[//]]="","",INDEX(Table1[pembuat nota :],pajak[//]-offset))</f>
        <v/>
      </c>
      <c r="O22" s="86" t="str">
        <f>IF(pajak[[#This Row],[//]]="","",IF(INDEX(Table1[edited :],pajak[//]-offset)="","",INDEX(Table1[edited :],pajak[//]-offset)))</f>
        <v/>
      </c>
      <c r="R22" t="str">
        <f>IF(pajak[[#This Row],[Kode Sales :]]="","",MATCH(pajak[[#This Row],[Kode Sales :]],[2]Invoice!$D:$D,0))</f>
        <v/>
      </c>
      <c r="S22" t="e">
        <f>Table4[[#This Row],[cek_ppn]]+28</f>
        <v>#VALUE!</v>
      </c>
      <c r="T22" s="86" t="e">
        <f>IF(INDEX([2]Invoice!$K:$K,Table4[[#This Row],[cek_rekap(share)]])=pajak[[#This Row],[Total Invoice]],"-",FALSE)</f>
        <v>#VALUE!</v>
      </c>
    </row>
    <row r="23" spans="2:20" x14ac:dyDescent="0.25">
      <c r="B23" s="88"/>
      <c r="D23" s="86" t="str">
        <f t="shared" si="1"/>
        <v/>
      </c>
      <c r="E23" s="86" t="str">
        <f>IF(pajak[[#This Row],[//]]="","",INDEX(Table1[No. Invoice :],pajak[//]-offset))</f>
        <v/>
      </c>
      <c r="F23" s="90" t="str">
        <f>IF(pajak[[#This Row],[//]]="","",INDEX(Table1[Tgl Invoice :],pajak[//]-offset))</f>
        <v/>
      </c>
      <c r="G23" s="86" t="str">
        <f>IF(pajak[[#This Row],[//]]="","",INDEX(Table1[Kode Sales :],pajak[//]-offset))</f>
        <v/>
      </c>
      <c r="H23" s="86" t="str">
        <f>IF(pajak[[#This Row],[//]]="","",INDEX(Table1[Toko],pajak[//]-offset))</f>
        <v/>
      </c>
      <c r="I23" s="89" t="str">
        <f>IF(pajak[[#This Row],[//]]="","",SUMIF(Table1[h_id],pajak[[#This Row],[//]],Table1[h_hargasebelumdiskon]))</f>
        <v/>
      </c>
      <c r="J23" s="89" t="str">
        <f>IF(pajak[[#This Row],[//]]="","",SUMIF(Table1[h_id],pajak[[#This Row],[//]],Table1[h_diskon]))</f>
        <v/>
      </c>
      <c r="K23" s="89" t="str">
        <f>IF(pajak[[#This Row],[//]]="","",SUMIF(Table1[h_id],pajak[[#This Row],[//]],Table1[h_hargasetelahdiskon]))</f>
        <v/>
      </c>
      <c r="L23" s="89" t="str">
        <f>IF(pajak[//]="","",pajak[[#This Row],[Sub Total]]/1.11*11%)</f>
        <v/>
      </c>
      <c r="M23" s="89" t="str">
        <f>pajak[[#This Row],[Sub Total]]</f>
        <v/>
      </c>
      <c r="N23" s="86" t="str">
        <f>IF(pajak[[#This Row],[//]]="","",INDEX(Table1[pembuat nota :],pajak[//]-offset))</f>
        <v/>
      </c>
      <c r="O23" s="86" t="str">
        <f>IF(pajak[[#This Row],[//]]="","",IF(INDEX(Table1[edited :],pajak[//]-offset)="","",INDEX(Table1[edited :],pajak[//]-offset)))</f>
        <v/>
      </c>
      <c r="R23" t="str">
        <f>IF(pajak[[#This Row],[Kode Sales :]]="","",MATCH(pajak[[#This Row],[Kode Sales :]],[2]Invoice!$D:$D,0))</f>
        <v/>
      </c>
      <c r="S23" t="e">
        <f>Table4[[#This Row],[cek_ppn]]+28</f>
        <v>#VALUE!</v>
      </c>
      <c r="T23" s="86" t="e">
        <f>IF(INDEX([2]Invoice!$K:$K,Table4[[#This Row],[cek_rekap(share)]])=pajak[[#This Row],[Total Invoice]],"-",FALSE)</f>
        <v>#VALUE!</v>
      </c>
    </row>
    <row r="24" spans="2:20" x14ac:dyDescent="0.25">
      <c r="B24" s="88"/>
      <c r="D24" s="86" t="str">
        <f t="shared" si="1"/>
        <v/>
      </c>
      <c r="E24" s="86" t="str">
        <f>IF(pajak[[#This Row],[//]]="","",INDEX(Table1[No. Invoice :],pajak[//]-offset))</f>
        <v/>
      </c>
      <c r="F24" s="90" t="str">
        <f>IF(pajak[[#This Row],[//]]="","",INDEX(Table1[Tgl Invoice :],pajak[//]-offset))</f>
        <v/>
      </c>
      <c r="G24" s="86" t="str">
        <f>IF(pajak[[#This Row],[//]]="","",INDEX(Table1[Kode Sales :],pajak[//]-offset))</f>
        <v/>
      </c>
      <c r="H24" s="86" t="str">
        <f>IF(pajak[[#This Row],[//]]="","",INDEX(Table1[Toko],pajak[//]-offset))</f>
        <v/>
      </c>
      <c r="I24" s="89" t="str">
        <f>IF(pajak[[#This Row],[//]]="","",SUMIF(Table1[h_id],pajak[[#This Row],[//]],Table1[h_hargasebelumdiskon]))</f>
        <v/>
      </c>
      <c r="J24" s="89" t="str">
        <f>IF(pajak[[#This Row],[//]]="","",SUMIF(Table1[h_id],pajak[[#This Row],[//]],Table1[h_diskon]))</f>
        <v/>
      </c>
      <c r="K24" s="89" t="str">
        <f>IF(pajak[[#This Row],[//]]="","",SUMIF(Table1[h_id],pajak[[#This Row],[//]],Table1[h_hargasetelahdiskon]))</f>
        <v/>
      </c>
      <c r="L24" s="89" t="str">
        <f>IF(pajak[//]="","",pajak[[#This Row],[Sub Total]]/1.11*11%)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R24" s="86" t="str">
        <f>IF(pajak[[#This Row],[Kode Sales :]]="","",MATCH(pajak[[#This Row],[Kode Sales :]],[2]Invoice!$D:$D,0))</f>
        <v/>
      </c>
      <c r="S24" s="86" t="e">
        <f>Table4[[#This Row],[cek_ppn]]+28</f>
        <v>#VALUE!</v>
      </c>
      <c r="T24" s="86" t="e">
        <f>IF(INDEX([2]Invoice!$K:$K,Table4[[#This Row],[cek_rekap(share)]])=pajak[[#This Row],[Total Invoice]],"-",FALSE)</f>
        <v>#VALUE!</v>
      </c>
    </row>
    <row r="25" spans="2:20" x14ac:dyDescent="0.25">
      <c r="B25" s="88"/>
      <c r="D25" s="86" t="str">
        <f t="shared" si="1"/>
        <v/>
      </c>
      <c r="E25" s="86" t="str">
        <f>IF(pajak[[#This Row],[//]]="","",INDEX(Table1[No. Invoice :],pajak[//]-offset))</f>
        <v/>
      </c>
      <c r="F25" s="90" t="str">
        <f>IF(pajak[[#This Row],[//]]="","",INDEX(Table1[Tgl Invoice :],pajak[//]-offset))</f>
        <v/>
      </c>
      <c r="G25" s="86" t="str">
        <f>IF(pajak[[#This Row],[//]]="","",INDEX(Table1[Kode Sales :],pajak[//]-offset))</f>
        <v/>
      </c>
      <c r="H25" s="86" t="str">
        <f>IF(pajak[[#This Row],[//]]="","",INDEX(Table1[Toko],pajak[//]-offset))</f>
        <v/>
      </c>
      <c r="I25" s="89" t="str">
        <f>IF(pajak[[#This Row],[//]]="","",SUMIF(Table1[h_id],pajak[[#This Row],[//]],Table1[h_hargasebelumdiskon]))</f>
        <v/>
      </c>
      <c r="J25" s="89" t="str">
        <f>IF(pajak[[#This Row],[//]]="","",SUMIF(Table1[h_id],pajak[[#This Row],[//]],Table1[h_diskon]))</f>
        <v/>
      </c>
      <c r="K25" s="89" t="str">
        <f>IF(pajak[[#This Row],[//]]="","",SUMIF(Table1[h_id],pajak[[#This Row],[//]],Table1[h_hargasetelahdiskon]))</f>
        <v/>
      </c>
      <c r="L25" s="89" t="str">
        <f>IF(pajak[//]="","",pajak[[#This Row],[Sub Total]]/1.11*11%)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R25" s="86" t="str">
        <f>IF(pajak[[#This Row],[Kode Sales :]]="","",MATCH(pajak[[#This Row],[Kode Sales :]],[2]Invoice!$D:$D,0))</f>
        <v/>
      </c>
      <c r="S25" s="86" t="e">
        <f>Table4[[#This Row],[cek_ppn]]+28</f>
        <v>#VALUE!</v>
      </c>
      <c r="T25" s="86" t="e">
        <f>IF(INDEX([2]Invoice!$K:$K,Table4[[#This Row],[cek_rekap(share)]])=pajak[[#This Row],[Total Invoice]],"-",FALSE)</f>
        <v>#VALUE!</v>
      </c>
    </row>
    <row r="26" spans="2:20" x14ac:dyDescent="0.25"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2:20" x14ac:dyDescent="0.25"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2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2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2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2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2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 ca="1">SUBTOTAL(109,pajak[Total])</f>
        <v>66551400</v>
      </c>
      <c r="J56" s="89">
        <f ca="1">SUBTOTAL(109,pajak[Diskon])</f>
        <v>7566501</v>
      </c>
      <c r="K56" s="89">
        <f ca="1">SUBTOTAL(109,pajak[Sub Total])</f>
        <v>58984899</v>
      </c>
      <c r="L56" s="89">
        <f ca="1">SUBTOTAL(109,pajak[PPN 11%])</f>
        <v>5845350.3513513505</v>
      </c>
      <c r="M56" s="89">
        <f ca="1">SUBTOTAL(109,pajak[Total Invoice])</f>
        <v>58984899</v>
      </c>
      <c r="N56"/>
      <c r="O56"/>
    </row>
  </sheetData>
  <conditionalFormatting sqref="G57:G1048576 G1:G55">
    <cfRule type="duplicateValues" dxfId="63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29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UTAMA</v>
      </c>
      <c r="F1" t="s">
        <v>46</v>
      </c>
      <c r="G1">
        <f ca="1">INDEX(Table1[h_jumlahbarang],newestIdRow-offset)</f>
        <v>1</v>
      </c>
      <c r="I1" s="346" t="s">
        <v>77</v>
      </c>
      <c r="J1" s="346"/>
    </row>
    <row r="2" spans="1:12" s="4" customFormat="1" ht="7.5" customHeight="1" collapsed="1" x14ac:dyDescent="0.25">
      <c r="A2" s="3"/>
      <c r="D2" s="5"/>
      <c r="I2" s="6"/>
      <c r="J2" s="6" t="s">
        <v>117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23030011</v>
      </c>
      <c r="G3" s="11" t="s">
        <v>16</v>
      </c>
      <c r="H3" s="353" t="str">
        <f>INDEX(Table2[b],MATCH(kToko,Table2[a],0))</f>
        <v>CV UTAMA PUTRA</v>
      </c>
      <c r="I3" s="353"/>
      <c r="J3" s="353"/>
      <c r="K3" s="354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4" t="s">
        <v>18</v>
      </c>
      <c r="G4" s="17"/>
      <c r="H4" s="355"/>
      <c r="I4" s="355"/>
      <c r="J4" s="355"/>
      <c r="K4" s="356"/>
      <c r="L4" s="12"/>
    </row>
    <row r="5" spans="1:12" s="10" customFormat="1" ht="16.5" customHeight="1" x14ac:dyDescent="0.3">
      <c r="A5" s="7"/>
      <c r="B5" s="1" t="s">
        <v>2</v>
      </c>
      <c r="C5" s="8"/>
      <c r="D5" s="325">
        <f>INDEX(Table1[Tgl Invoice :],newestIdRow-offset)</f>
        <v>44996</v>
      </c>
      <c r="E5" s="326"/>
      <c r="F5" s="324"/>
      <c r="G5" s="18"/>
      <c r="H5" s="327" t="str">
        <f>IF(INDEX(Table2[c],MATCH(kToko,Table2[a],0))="","",INDEX(Table2[c],MATCH(kToko,Table2[a],0)))</f>
        <v/>
      </c>
      <c r="I5" s="327"/>
      <c r="J5" s="327"/>
      <c r="K5" s="328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4"/>
      <c r="G6" s="18"/>
      <c r="H6" s="329" t="str">
        <f>INDEX(Table2[d],MATCH(kToko,Table2[a],0))</f>
        <v>TULUNG AGUNG</v>
      </c>
      <c r="I6" s="329"/>
      <c r="J6" s="329"/>
      <c r="K6" s="330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2966</v>
      </c>
      <c r="E7" s="9"/>
      <c r="F7" s="21"/>
      <c r="G7" s="22"/>
      <c r="H7" s="331"/>
      <c r="I7" s="331"/>
      <c r="J7" s="331"/>
      <c r="K7" s="332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35</v>
      </c>
      <c r="C11" s="46" t="str">
        <f ca="1">IF(A11&gt;jumlahBarang,"",INDEX(Table1[Unit],newestIdRow-offset+A11-1))</f>
        <v>LSN</v>
      </c>
      <c r="D11" s="47" t="str">
        <f ca="1">IF(A11&gt;jumlahBarang,"",IF(INDEX(Table1[C],newestIdRow-offset+A11-1)="","",INDEX(Table1[C],newestIdRow-offset+A11-1)))</f>
        <v/>
      </c>
      <c r="E11" s="48" t="str">
        <f ca="1">IF(A11&gt;jumlahBarang,"",INDEX(Table1[Item Description],newestIdRow-offset+A11-1))</f>
        <v>GEL PEN KENKO HI-TECH-H 0.28 MM FUN COLOR BIRU</v>
      </c>
      <c r="F11" s="49"/>
      <c r="G11" s="50"/>
      <c r="H11" s="51">
        <f ca="1">IF(A11&gt;jumlahBarang,"",INDEX(Table1[Unit Price],newestIdRow-offset+A11-1))</f>
        <v>39000</v>
      </c>
      <c r="I11" s="52">
        <f ca="1">IF(A11&gt;jumlahBarang,"",IF(INDEX(Table1[Disc 1],newestIdRow-offset+A11-1)="","",INDEX(Table1[Disc 1],newestIdRow-offset+A11-1)))</f>
        <v>0.125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1194375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IF(A12&gt;jumlahBarang,"",INDEX(Table1[Disc 1],newestIdRow-offset+A12-1))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IF(A13&gt;jumlahBarang,"",INDEX(Table1[Disc 1],newestIdRow-offset+A13-1))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IF(A14&gt;jumlahBarang,"",INDEX(Table1[Disc 1],newestIdRow-offset+A14-1))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IF(A15&gt;jumlahBarang,"",INDEX(Table1[Disc 1],newestIdRow-offset+A15-1))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IF(A16&gt;jumlahBarang,"",INDEX(Table1[Disc 1],newestIdRow-offset+A16-1))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IF(A17&gt;jumlahBarang,"",INDEX(Table1[Disc 1],newestIdRow-offset+A17-1))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IF(A18&gt;jumlahBarang,"",INDEX(Table1[Disc 1],newestIdRow-offset+A18-1))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IF(A19&gt;jumlahBarang,"",INDEX(Table1[Disc 1],newestIdRow-offset+A19-1))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IF(A20&gt;jumlahBarang,"",INDEX(Table1[Disc 1],newestIdRow-offset+A20-1))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IF(A21&gt;jumlahBarang,"",INDEX(Table1[Disc 1],newestIdRow-offset+A21-1))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IF(A22&gt;jumlahBarang,"",INDEX(Table1[Disc 1],newestIdRow-offset+A22-1))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IF(A23&gt;jumlahBarang,"",INDEX(Table1[Disc 1],newestIdRow-offset+A23-1))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IF(A24&gt;jumlahBarang,"",INDEX(Table1[Disc 1],newestIdRow-offset+A24-1))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IF(A25&gt;jumlahBarang,"",INDEX(Table1[Disc 1],newestIdRow-offset+A25-1))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IF(A26&gt;jumlahBarang,"",INDEX(Table1[Disc 1],newestIdRow-offset+A26-1))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52"/>
      <c r="K28" s="352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9">
        <f ca="1">INDEX(pajak[Sub Total],MATCH(newestIdRow,pajak[//],0))</f>
        <v>1194375</v>
      </c>
      <c r="K29" s="350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51"/>
      <c r="K30" s="351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52"/>
      <c r="K32" s="352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9">
        <f ca="1">INDEX(pajak[PPN 11%],MATCH(newestIdRow,pajak[//],0))</f>
        <v>118361.48648648646</v>
      </c>
      <c r="K33" s="350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52"/>
      <c r="K34" s="352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1194375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47" t="str">
        <f>INDEX(pajak[pembuat nota],MATCH(newestIdRow,pajak[//],0))</f>
        <v>NOVI / CONDRO</v>
      </c>
      <c r="K37" s="348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47" t="str">
        <f>INDEX(pajak[edited],MATCH(newestIdRow,pajak[//],0))</f>
        <v/>
      </c>
      <c r="K38" s="348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23030011</v>
      </c>
      <c r="F41" s="210"/>
      <c r="G41" s="211" t="s">
        <v>16</v>
      </c>
      <c r="H41" s="333" t="str">
        <f>H3</f>
        <v>CV UTAMA PUTRA</v>
      </c>
      <c r="I41" s="333"/>
      <c r="J41" s="333"/>
      <c r="K41" s="334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37" t="s">
        <v>18</v>
      </c>
      <c r="G42" s="217"/>
      <c r="H42" s="335"/>
      <c r="I42" s="335"/>
      <c r="J42" s="335"/>
      <c r="K42" s="336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8">
        <f>D5</f>
        <v>44996</v>
      </c>
      <c r="E43" s="339"/>
      <c r="F43" s="337"/>
      <c r="G43" s="218"/>
      <c r="H43" s="340" t="str">
        <f>H5</f>
        <v/>
      </c>
      <c r="I43" s="340"/>
      <c r="J43" s="340"/>
      <c r="K43" s="341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37"/>
      <c r="G44" s="218"/>
      <c r="H44" s="342" t="str">
        <f>H6</f>
        <v>TULUNG AGUNG</v>
      </c>
      <c r="I44" s="342"/>
      <c r="J44" s="342"/>
      <c r="K44" s="343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G 2966</v>
      </c>
      <c r="E45" s="209"/>
      <c r="F45" s="222"/>
      <c r="G45" s="223"/>
      <c r="H45" s="344"/>
      <c r="I45" s="344"/>
      <c r="J45" s="344"/>
      <c r="K45" s="345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ca="1">B11</f>
        <v>35</v>
      </c>
      <c r="C49" s="249" t="str">
        <f ca="1">C11</f>
        <v>LSN</v>
      </c>
      <c r="D49" s="250" t="str">
        <f ca="1">D11</f>
        <v/>
      </c>
      <c r="E49" s="251" t="str">
        <f ca="1">E11</f>
        <v>GEL PEN KENKO HI-TECH-H 0.28 MM FUN COLOR BIRU</v>
      </c>
      <c r="F49" s="252"/>
      <c r="G49" s="253"/>
      <c r="H49" s="254">
        <f ca="1">H11</f>
        <v>39000</v>
      </c>
      <c r="I49" s="255">
        <f ca="1">I11</f>
        <v>0.125</v>
      </c>
      <c r="J49" s="255" t="str">
        <f ca="1">J11</f>
        <v/>
      </c>
      <c r="K49" s="256">
        <f ca="1">K11</f>
        <v>1194375</v>
      </c>
      <c r="L49" s="238"/>
    </row>
    <row r="50" spans="1:12" s="10" customFormat="1" ht="14.1" customHeight="1" x14ac:dyDescent="0.25">
      <c r="A50" s="247">
        <v>2</v>
      </c>
      <c r="B50" s="248" t="str">
        <f t="shared" ref="B50:E50" ca="1" si="0">B12</f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ref="H50:K50" ca="1" si="1">H12</f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ref="B51:E51" ca="1" si="2">B13</f>
        <v/>
      </c>
      <c r="C51" s="249" t="str">
        <f t="shared" ca="1" si="2"/>
        <v/>
      </c>
      <c r="D51" s="250" t="str">
        <f t="shared" ca="1" si="2"/>
        <v/>
      </c>
      <c r="E51" s="251" t="str">
        <f t="shared" ca="1" si="2"/>
        <v/>
      </c>
      <c r="F51" s="252"/>
      <c r="G51" s="253"/>
      <c r="H51" s="254" t="str">
        <f t="shared" ref="H51:K51" ca="1" si="3">H13</f>
        <v/>
      </c>
      <c r="I51" s="255" t="str">
        <f t="shared" ca="1" si="3"/>
        <v/>
      </c>
      <c r="J51" s="255" t="str">
        <f t="shared" ca="1" si="3"/>
        <v/>
      </c>
      <c r="K51" s="256" t="str">
        <f t="shared" ca="1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ca="1" si="4">B14</f>
        <v/>
      </c>
      <c r="C52" s="249" t="str">
        <f t="shared" ca="1" si="4"/>
        <v/>
      </c>
      <c r="D52" s="250" t="str">
        <f t="shared" ca="1" si="4"/>
        <v/>
      </c>
      <c r="E52" s="251" t="str">
        <f t="shared" ca="1" si="4"/>
        <v/>
      </c>
      <c r="F52" s="252"/>
      <c r="G52" s="253"/>
      <c r="H52" s="254" t="str">
        <f t="shared" ref="H52:K52" ca="1" si="5">H14</f>
        <v/>
      </c>
      <c r="I52" s="255" t="str">
        <f t="shared" ca="1" si="5"/>
        <v/>
      </c>
      <c r="J52" s="255" t="str">
        <f t="shared" ca="1" si="5"/>
        <v/>
      </c>
      <c r="K52" s="256" t="str">
        <f t="shared" ca="1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ca="1" si="6">B15</f>
        <v/>
      </c>
      <c r="C53" s="249" t="str">
        <f t="shared" ca="1" si="6"/>
        <v/>
      </c>
      <c r="D53" s="250" t="str">
        <f t="shared" ca="1" si="6"/>
        <v/>
      </c>
      <c r="E53" s="251" t="str">
        <f t="shared" ca="1" si="6"/>
        <v/>
      </c>
      <c r="F53" s="252"/>
      <c r="G53" s="253"/>
      <c r="H53" s="254" t="str">
        <f t="shared" ref="H53:K53" ca="1" si="7">H15</f>
        <v/>
      </c>
      <c r="I53" s="255" t="str">
        <f t="shared" ca="1" si="7"/>
        <v/>
      </c>
      <c r="J53" s="255" t="str">
        <f t="shared" ca="1" si="7"/>
        <v/>
      </c>
      <c r="K53" s="256" t="str">
        <f t="shared" ca="1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ca="1" si="8">B16</f>
        <v/>
      </c>
      <c r="C54" s="249" t="str">
        <f t="shared" ca="1" si="8"/>
        <v/>
      </c>
      <c r="D54" s="250" t="str">
        <f t="shared" ca="1" si="8"/>
        <v/>
      </c>
      <c r="E54" s="251" t="str">
        <f t="shared" ca="1" si="8"/>
        <v/>
      </c>
      <c r="F54" s="252"/>
      <c r="G54" s="253"/>
      <c r="H54" s="254" t="str">
        <f t="shared" ref="H54:K54" ca="1" si="9">H16</f>
        <v/>
      </c>
      <c r="I54" s="255" t="str">
        <f t="shared" ca="1" si="9"/>
        <v/>
      </c>
      <c r="J54" s="255" t="str">
        <f t="shared" ca="1" si="9"/>
        <v/>
      </c>
      <c r="K54" s="256" t="str">
        <f t="shared" ca="1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ca="1" si="10">B17</f>
        <v/>
      </c>
      <c r="C55" s="249" t="str">
        <f t="shared" ca="1" si="10"/>
        <v/>
      </c>
      <c r="D55" s="250" t="str">
        <f t="shared" ca="1" si="10"/>
        <v/>
      </c>
      <c r="E55" s="251" t="str">
        <f t="shared" ca="1" si="10"/>
        <v/>
      </c>
      <c r="F55" s="252"/>
      <c r="G55" s="253"/>
      <c r="H55" s="254" t="str">
        <f t="shared" ref="H55:K55" ca="1" si="11">H17</f>
        <v/>
      </c>
      <c r="I55" s="255" t="str">
        <f t="shared" ca="1" si="11"/>
        <v/>
      </c>
      <c r="J55" s="255" t="str">
        <f t="shared" ca="1" si="11"/>
        <v/>
      </c>
      <c r="K55" s="256" t="str">
        <f t="shared" ca="1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ca="1" si="12">B18</f>
        <v/>
      </c>
      <c r="C56" s="249" t="str">
        <f t="shared" ca="1" si="12"/>
        <v/>
      </c>
      <c r="D56" s="250" t="str">
        <f t="shared" ca="1" si="12"/>
        <v/>
      </c>
      <c r="E56" s="251" t="str">
        <f t="shared" ca="1" si="12"/>
        <v/>
      </c>
      <c r="F56" s="252"/>
      <c r="G56" s="253"/>
      <c r="H56" s="254" t="str">
        <f t="shared" ref="H56:K56" ca="1" si="13">H18</f>
        <v/>
      </c>
      <c r="I56" s="255" t="str">
        <f t="shared" ca="1" si="13"/>
        <v/>
      </c>
      <c r="J56" s="255" t="str">
        <f t="shared" ca="1" si="13"/>
        <v/>
      </c>
      <c r="K56" s="256" t="str">
        <f t="shared" ca="1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ca="1" si="14">B19</f>
        <v/>
      </c>
      <c r="C57" s="249" t="str">
        <f t="shared" ca="1" si="14"/>
        <v/>
      </c>
      <c r="D57" s="250" t="str">
        <f t="shared" ca="1" si="14"/>
        <v/>
      </c>
      <c r="E57" s="251" t="str">
        <f t="shared" ca="1" si="14"/>
        <v/>
      </c>
      <c r="F57" s="252"/>
      <c r="G57" s="253"/>
      <c r="H57" s="254" t="str">
        <f t="shared" ref="H57:K57" ca="1" si="15">H19</f>
        <v/>
      </c>
      <c r="I57" s="255" t="str">
        <f t="shared" ca="1" si="15"/>
        <v/>
      </c>
      <c r="J57" s="255" t="str">
        <f t="shared" ca="1" si="15"/>
        <v/>
      </c>
      <c r="K57" s="256" t="str">
        <f t="shared" ca="1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ca="1" si="16">B20</f>
        <v/>
      </c>
      <c r="C58" s="249" t="str">
        <f t="shared" ca="1" si="16"/>
        <v/>
      </c>
      <c r="D58" s="250" t="str">
        <f t="shared" ca="1" si="16"/>
        <v/>
      </c>
      <c r="E58" s="251" t="str">
        <f t="shared" ca="1" si="16"/>
        <v/>
      </c>
      <c r="F58" s="252"/>
      <c r="G58" s="253"/>
      <c r="H58" s="254" t="str">
        <f t="shared" ref="H58:K58" ca="1" si="17">H20</f>
        <v/>
      </c>
      <c r="I58" s="255" t="str">
        <f t="shared" ca="1" si="17"/>
        <v/>
      </c>
      <c r="J58" s="255" t="str">
        <f t="shared" ca="1" si="17"/>
        <v/>
      </c>
      <c r="K58" s="256" t="str">
        <f t="shared" ca="1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ca="1" si="18">B21</f>
        <v/>
      </c>
      <c r="C59" s="249" t="str">
        <f t="shared" ca="1" si="18"/>
        <v/>
      </c>
      <c r="D59" s="250" t="str">
        <f t="shared" ca="1" si="18"/>
        <v/>
      </c>
      <c r="E59" s="251" t="str">
        <f t="shared" ca="1" si="18"/>
        <v/>
      </c>
      <c r="F59" s="252"/>
      <c r="G59" s="253"/>
      <c r="H59" s="254" t="str">
        <f t="shared" ref="H59:K59" ca="1" si="19">H21</f>
        <v/>
      </c>
      <c r="I59" s="255" t="str">
        <f t="shared" ca="1" si="19"/>
        <v/>
      </c>
      <c r="J59" s="255" t="str">
        <f t="shared" ca="1" si="19"/>
        <v/>
      </c>
      <c r="K59" s="256" t="str">
        <f t="shared" ca="1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ca="1" si="20">B22</f>
        <v/>
      </c>
      <c r="C60" s="249" t="str">
        <f t="shared" ca="1" si="20"/>
        <v/>
      </c>
      <c r="D60" s="250" t="str">
        <f t="shared" ca="1" si="20"/>
        <v/>
      </c>
      <c r="E60" s="251" t="str">
        <f t="shared" ca="1" si="20"/>
        <v/>
      </c>
      <c r="F60" s="252"/>
      <c r="G60" s="253"/>
      <c r="H60" s="254" t="str">
        <f t="shared" ref="H60:K60" ca="1" si="21">H22</f>
        <v/>
      </c>
      <c r="I60" s="255" t="str">
        <f t="shared" ca="1" si="21"/>
        <v/>
      </c>
      <c r="J60" s="255" t="str">
        <f t="shared" ca="1" si="21"/>
        <v/>
      </c>
      <c r="K60" s="256" t="str">
        <f t="shared" ca="1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ca="1" si="22">B23</f>
        <v/>
      </c>
      <c r="C61" s="249" t="str">
        <f t="shared" ca="1" si="22"/>
        <v/>
      </c>
      <c r="D61" s="250" t="str">
        <f t="shared" ca="1" si="22"/>
        <v/>
      </c>
      <c r="E61" s="251" t="str">
        <f t="shared" ca="1" si="22"/>
        <v/>
      </c>
      <c r="F61" s="252"/>
      <c r="G61" s="253"/>
      <c r="H61" s="254" t="str">
        <f t="shared" ref="H61:K61" ca="1" si="23">H23</f>
        <v/>
      </c>
      <c r="I61" s="255" t="str">
        <f t="shared" ca="1" si="23"/>
        <v/>
      </c>
      <c r="J61" s="255" t="str">
        <f t="shared" ca="1" si="23"/>
        <v/>
      </c>
      <c r="K61" s="256" t="str">
        <f t="shared" ca="1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ca="1" si="24">B24</f>
        <v/>
      </c>
      <c r="C62" s="249" t="str">
        <f t="shared" ca="1" si="24"/>
        <v/>
      </c>
      <c r="D62" s="250" t="str">
        <f t="shared" ca="1" si="24"/>
        <v/>
      </c>
      <c r="E62" s="251" t="str">
        <f t="shared" ca="1" si="24"/>
        <v/>
      </c>
      <c r="F62" s="252"/>
      <c r="G62" s="253"/>
      <c r="H62" s="254" t="str">
        <f t="shared" ref="H62:K62" ca="1" si="25">H24</f>
        <v/>
      </c>
      <c r="I62" s="255" t="str">
        <f t="shared" ca="1" si="25"/>
        <v/>
      </c>
      <c r="J62" s="255" t="str">
        <f t="shared" ca="1" si="25"/>
        <v/>
      </c>
      <c r="K62" s="256" t="str">
        <f t="shared" ca="1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ca="1" si="26">B25</f>
        <v/>
      </c>
      <c r="C63" s="249" t="str">
        <f t="shared" ca="1" si="26"/>
        <v/>
      </c>
      <c r="D63" s="250" t="str">
        <f t="shared" ca="1" si="26"/>
        <v/>
      </c>
      <c r="E63" s="251" t="str">
        <f t="shared" ca="1" si="26"/>
        <v/>
      </c>
      <c r="F63" s="252"/>
      <c r="G63" s="253"/>
      <c r="H63" s="254" t="str">
        <f t="shared" ref="H63:K63" ca="1" si="27">H25</f>
        <v/>
      </c>
      <c r="I63" s="255" t="str">
        <f t="shared" ca="1" si="27"/>
        <v/>
      </c>
      <c r="J63" s="255" t="str">
        <f t="shared" ca="1" si="27"/>
        <v/>
      </c>
      <c r="K63" s="256" t="str">
        <f t="shared" ca="1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ca="1" si="28">B26</f>
        <v/>
      </c>
      <c r="C64" s="249" t="str">
        <f t="shared" ca="1" si="28"/>
        <v/>
      </c>
      <c r="D64" s="250" t="str">
        <f t="shared" ca="1" si="28"/>
        <v/>
      </c>
      <c r="E64" s="251" t="str">
        <f t="shared" ca="1" si="28"/>
        <v/>
      </c>
      <c r="F64" s="252"/>
      <c r="G64" s="253"/>
      <c r="H64" s="254" t="str">
        <f t="shared" ref="H64:K64" ca="1" si="29">H26</f>
        <v/>
      </c>
      <c r="I64" s="255" t="str">
        <f t="shared" ca="1" si="29"/>
        <v/>
      </c>
      <c r="J64" s="255" t="str">
        <f t="shared" ca="1" si="29"/>
        <v/>
      </c>
      <c r="K64" s="256" t="str">
        <f t="shared" ca="1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13"/>
      <c r="K66" s="313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21">
        <f ca="1">J29</f>
        <v>1194375</v>
      </c>
      <c r="K67" s="322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23"/>
      <c r="K68" s="323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13"/>
      <c r="K70" s="313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21">
        <f ca="1">J33</f>
        <v>118361.48648648646</v>
      </c>
      <c r="K71" s="322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13"/>
      <c r="K72" s="313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1194375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14" t="str">
        <f>J37</f>
        <v>NOVI / CONDRO</v>
      </c>
      <c r="K75" s="315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14">
        <v>0</v>
      </c>
      <c r="K76" s="315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23030011</v>
      </c>
      <c r="F79" s="110"/>
      <c r="G79" s="111" t="s">
        <v>16</v>
      </c>
      <c r="H79" s="316" t="str">
        <f>H41</f>
        <v>CV UTAMA PUTRA</v>
      </c>
      <c r="I79" s="316"/>
      <c r="J79" s="316"/>
      <c r="K79" s="317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20" t="s">
        <v>18</v>
      </c>
      <c r="G80" s="117"/>
      <c r="H80" s="318"/>
      <c r="I80" s="318"/>
      <c r="J80" s="318"/>
      <c r="K80" s="319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05">
        <f>D43</f>
        <v>44996</v>
      </c>
      <c r="E81" s="306"/>
      <c r="F81" s="320"/>
      <c r="G81" s="118"/>
      <c r="H81" s="307" t="str">
        <f>H43</f>
        <v/>
      </c>
      <c r="I81" s="307"/>
      <c r="J81" s="307"/>
      <c r="K81" s="308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20"/>
      <c r="G82" s="118"/>
      <c r="H82" s="309" t="str">
        <f>H44</f>
        <v>TULUNG AGUNG</v>
      </c>
      <c r="I82" s="309"/>
      <c r="J82" s="309"/>
      <c r="K82" s="310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G 2966</v>
      </c>
      <c r="E83" s="109"/>
      <c r="F83" s="122"/>
      <c r="G83" s="123"/>
      <c r="H83" s="311"/>
      <c r="I83" s="311"/>
      <c r="J83" s="311"/>
      <c r="K83" s="312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ca="1">B49</f>
        <v>35</v>
      </c>
      <c r="C87" s="149" t="str">
        <f ca="1">C49</f>
        <v>LSN</v>
      </c>
      <c r="D87" s="150" t="str">
        <f ca="1">D49</f>
        <v/>
      </c>
      <c r="E87" s="151" t="str">
        <f ca="1">E49</f>
        <v>GEL PEN KENKO HI-TECH-H 0.28 MM FUN COLOR BIRU</v>
      </c>
      <c r="F87" s="152"/>
      <c r="G87" s="153"/>
      <c r="H87" s="154">
        <f ca="1">H49</f>
        <v>39000</v>
      </c>
      <c r="I87" s="155">
        <f ca="1">I49</f>
        <v>0.125</v>
      </c>
      <c r="J87" s="155" t="str">
        <f ca="1">J49</f>
        <v/>
      </c>
      <c r="K87" s="156">
        <f ca="1">K49</f>
        <v>1194375</v>
      </c>
      <c r="L87" s="138"/>
    </row>
    <row r="88" spans="1:12" s="10" customFormat="1" ht="14.1" customHeight="1" x14ac:dyDescent="0.25">
      <c r="A88" s="147">
        <v>2</v>
      </c>
      <c r="B88" s="148" t="str">
        <f t="shared" ref="B88:E88" ca="1" si="30">B50</f>
        <v/>
      </c>
      <c r="C88" s="149" t="str">
        <f t="shared" ca="1" si="30"/>
        <v/>
      </c>
      <c r="D88" s="150" t="str">
        <f t="shared" ca="1" si="30"/>
        <v/>
      </c>
      <c r="E88" s="151" t="str">
        <f t="shared" ca="1" si="30"/>
        <v/>
      </c>
      <c r="F88" s="152"/>
      <c r="G88" s="153"/>
      <c r="H88" s="154" t="str">
        <f t="shared" ref="H88:K88" ca="1" si="31">H50</f>
        <v/>
      </c>
      <c r="I88" s="155" t="str">
        <f t="shared" ca="1" si="31"/>
        <v/>
      </c>
      <c r="J88" s="155" t="str">
        <f t="shared" ca="1" si="31"/>
        <v/>
      </c>
      <c r="K88" s="156" t="str">
        <f t="shared" ca="1" si="31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ref="B89:E89" ca="1" si="32">B51</f>
        <v/>
      </c>
      <c r="C89" s="149" t="str">
        <f t="shared" ca="1" si="32"/>
        <v/>
      </c>
      <c r="D89" s="150" t="str">
        <f t="shared" ca="1" si="32"/>
        <v/>
      </c>
      <c r="E89" s="151" t="str">
        <f t="shared" ca="1" si="32"/>
        <v/>
      </c>
      <c r="F89" s="152"/>
      <c r="G89" s="153"/>
      <c r="H89" s="154" t="str">
        <f t="shared" ref="H89:K89" ca="1" si="33">H51</f>
        <v/>
      </c>
      <c r="I89" s="155" t="str">
        <f t="shared" ca="1" si="33"/>
        <v/>
      </c>
      <c r="J89" s="155" t="str">
        <f t="shared" ca="1" si="33"/>
        <v/>
      </c>
      <c r="K89" s="156" t="str">
        <f t="shared" ca="1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ca="1" si="34">B52</f>
        <v/>
      </c>
      <c r="C90" s="149" t="str">
        <f t="shared" ca="1" si="34"/>
        <v/>
      </c>
      <c r="D90" s="150" t="str">
        <f t="shared" ca="1" si="34"/>
        <v/>
      </c>
      <c r="E90" s="151" t="str">
        <f t="shared" ca="1" si="34"/>
        <v/>
      </c>
      <c r="F90" s="152"/>
      <c r="G90" s="153"/>
      <c r="H90" s="154" t="str">
        <f t="shared" ref="H90:K90" ca="1" si="35">H52</f>
        <v/>
      </c>
      <c r="I90" s="155" t="str">
        <f t="shared" ca="1" si="35"/>
        <v/>
      </c>
      <c r="J90" s="155" t="str">
        <f t="shared" ca="1" si="35"/>
        <v/>
      </c>
      <c r="K90" s="156" t="str">
        <f t="shared" ca="1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ca="1" si="36">B53</f>
        <v/>
      </c>
      <c r="C91" s="149" t="str">
        <f t="shared" ca="1" si="36"/>
        <v/>
      </c>
      <c r="D91" s="150" t="str">
        <f t="shared" ca="1" si="36"/>
        <v/>
      </c>
      <c r="E91" s="151" t="str">
        <f t="shared" ca="1" si="36"/>
        <v/>
      </c>
      <c r="F91" s="152"/>
      <c r="G91" s="153"/>
      <c r="H91" s="154" t="str">
        <f t="shared" ref="H91:K91" ca="1" si="37">H53</f>
        <v/>
      </c>
      <c r="I91" s="155" t="str">
        <f t="shared" ca="1" si="37"/>
        <v/>
      </c>
      <c r="J91" s="155" t="str">
        <f t="shared" ca="1" si="37"/>
        <v/>
      </c>
      <c r="K91" s="156" t="str">
        <f t="shared" ca="1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ca="1" si="38">B54</f>
        <v/>
      </c>
      <c r="C92" s="149" t="str">
        <f t="shared" ca="1" si="38"/>
        <v/>
      </c>
      <c r="D92" s="150" t="str">
        <f t="shared" ca="1" si="38"/>
        <v/>
      </c>
      <c r="E92" s="151" t="str">
        <f t="shared" ca="1" si="38"/>
        <v/>
      </c>
      <c r="F92" s="152"/>
      <c r="G92" s="153"/>
      <c r="H92" s="154" t="str">
        <f t="shared" ref="H92:K92" ca="1" si="39">H54</f>
        <v/>
      </c>
      <c r="I92" s="155" t="str">
        <f t="shared" ca="1" si="39"/>
        <v/>
      </c>
      <c r="J92" s="155" t="str">
        <f t="shared" ca="1" si="39"/>
        <v/>
      </c>
      <c r="K92" s="156" t="str">
        <f t="shared" ca="1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ca="1" si="40">B55</f>
        <v/>
      </c>
      <c r="C93" s="149" t="str">
        <f t="shared" ca="1" si="40"/>
        <v/>
      </c>
      <c r="D93" s="150" t="str">
        <f t="shared" ca="1" si="40"/>
        <v/>
      </c>
      <c r="E93" s="151" t="str">
        <f t="shared" ca="1" si="40"/>
        <v/>
      </c>
      <c r="F93" s="152"/>
      <c r="G93" s="153"/>
      <c r="H93" s="154" t="str">
        <f t="shared" ref="H93:K93" ca="1" si="41">H55</f>
        <v/>
      </c>
      <c r="I93" s="155" t="str">
        <f t="shared" ca="1" si="41"/>
        <v/>
      </c>
      <c r="J93" s="155" t="str">
        <f t="shared" ca="1" si="41"/>
        <v/>
      </c>
      <c r="K93" s="156" t="str">
        <f t="shared" ca="1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ca="1" si="42">B56</f>
        <v/>
      </c>
      <c r="C94" s="149" t="str">
        <f t="shared" ca="1" si="42"/>
        <v/>
      </c>
      <c r="D94" s="150" t="str">
        <f t="shared" ca="1" si="42"/>
        <v/>
      </c>
      <c r="E94" s="151" t="str">
        <f t="shared" ca="1" si="42"/>
        <v/>
      </c>
      <c r="F94" s="152"/>
      <c r="G94" s="153"/>
      <c r="H94" s="154" t="str">
        <f t="shared" ref="H94:K94" ca="1" si="43">H56</f>
        <v/>
      </c>
      <c r="I94" s="155" t="str">
        <f t="shared" ca="1" si="43"/>
        <v/>
      </c>
      <c r="J94" s="155" t="str">
        <f t="shared" ca="1" si="43"/>
        <v/>
      </c>
      <c r="K94" s="156" t="str">
        <f t="shared" ca="1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ca="1" si="44">B57</f>
        <v/>
      </c>
      <c r="C95" s="149" t="str">
        <f t="shared" ca="1" si="44"/>
        <v/>
      </c>
      <c r="D95" s="150" t="str">
        <f t="shared" ca="1" si="44"/>
        <v/>
      </c>
      <c r="E95" s="151" t="str">
        <f t="shared" ca="1" si="44"/>
        <v/>
      </c>
      <c r="F95" s="152"/>
      <c r="G95" s="153"/>
      <c r="H95" s="154" t="str">
        <f t="shared" ref="H95:K95" ca="1" si="45">H57</f>
        <v/>
      </c>
      <c r="I95" s="155" t="str">
        <f t="shared" ca="1" si="45"/>
        <v/>
      </c>
      <c r="J95" s="155" t="str">
        <f t="shared" ca="1" si="45"/>
        <v/>
      </c>
      <c r="K95" s="156" t="str">
        <f t="shared" ca="1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ca="1" si="46">B58</f>
        <v/>
      </c>
      <c r="C96" s="149" t="str">
        <f t="shared" ca="1" si="46"/>
        <v/>
      </c>
      <c r="D96" s="150" t="str">
        <f t="shared" ca="1" si="46"/>
        <v/>
      </c>
      <c r="E96" s="151" t="str">
        <f t="shared" ca="1" si="46"/>
        <v/>
      </c>
      <c r="F96" s="152"/>
      <c r="G96" s="153"/>
      <c r="H96" s="154" t="str">
        <f t="shared" ref="H96:K96" ca="1" si="47">H58</f>
        <v/>
      </c>
      <c r="I96" s="155" t="str">
        <f t="shared" ca="1" si="47"/>
        <v/>
      </c>
      <c r="J96" s="155" t="str">
        <f t="shared" ca="1" si="47"/>
        <v/>
      </c>
      <c r="K96" s="156" t="str">
        <f t="shared" ca="1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ca="1" si="48">B59</f>
        <v/>
      </c>
      <c r="C97" s="149" t="str">
        <f t="shared" ca="1" si="48"/>
        <v/>
      </c>
      <c r="D97" s="150" t="str">
        <f t="shared" ca="1" si="48"/>
        <v/>
      </c>
      <c r="E97" s="151" t="str">
        <f t="shared" ca="1" si="48"/>
        <v/>
      </c>
      <c r="F97" s="152"/>
      <c r="G97" s="153"/>
      <c r="H97" s="154" t="str">
        <f t="shared" ref="H97:K97" ca="1" si="49">H59</f>
        <v/>
      </c>
      <c r="I97" s="155" t="str">
        <f t="shared" ca="1" si="49"/>
        <v/>
      </c>
      <c r="J97" s="155" t="str">
        <f t="shared" ca="1" si="49"/>
        <v/>
      </c>
      <c r="K97" s="156" t="str">
        <f t="shared" ca="1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ca="1" si="50">B60</f>
        <v/>
      </c>
      <c r="C98" s="149" t="str">
        <f t="shared" ca="1" si="50"/>
        <v/>
      </c>
      <c r="D98" s="150" t="str">
        <f t="shared" ca="1" si="50"/>
        <v/>
      </c>
      <c r="E98" s="151" t="str">
        <f t="shared" ca="1" si="50"/>
        <v/>
      </c>
      <c r="F98" s="152"/>
      <c r="G98" s="153"/>
      <c r="H98" s="154" t="str">
        <f t="shared" ref="H98:K98" ca="1" si="51">H60</f>
        <v/>
      </c>
      <c r="I98" s="155" t="str">
        <f t="shared" ca="1" si="51"/>
        <v/>
      </c>
      <c r="J98" s="155" t="str">
        <f t="shared" ca="1" si="51"/>
        <v/>
      </c>
      <c r="K98" s="156" t="str">
        <f t="shared" ca="1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ca="1" si="52">B61</f>
        <v/>
      </c>
      <c r="C99" s="149" t="str">
        <f t="shared" ca="1" si="52"/>
        <v/>
      </c>
      <c r="D99" s="150" t="str">
        <f t="shared" ca="1" si="52"/>
        <v/>
      </c>
      <c r="E99" s="151" t="str">
        <f t="shared" ca="1" si="52"/>
        <v/>
      </c>
      <c r="F99" s="152"/>
      <c r="G99" s="153"/>
      <c r="H99" s="154" t="str">
        <f t="shared" ref="H99:K99" ca="1" si="53">H61</f>
        <v/>
      </c>
      <c r="I99" s="155" t="str">
        <f t="shared" ca="1" si="53"/>
        <v/>
      </c>
      <c r="J99" s="155" t="str">
        <f t="shared" ca="1" si="53"/>
        <v/>
      </c>
      <c r="K99" s="156" t="str">
        <f t="shared" ca="1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ca="1" si="54">B62</f>
        <v/>
      </c>
      <c r="C100" s="149" t="str">
        <f t="shared" ca="1" si="54"/>
        <v/>
      </c>
      <c r="D100" s="150" t="str">
        <f t="shared" ca="1" si="54"/>
        <v/>
      </c>
      <c r="E100" s="151" t="str">
        <f t="shared" ca="1" si="54"/>
        <v/>
      </c>
      <c r="F100" s="152"/>
      <c r="G100" s="153"/>
      <c r="H100" s="154" t="str">
        <f t="shared" ref="H100:K100" ca="1" si="55">H62</f>
        <v/>
      </c>
      <c r="I100" s="155" t="str">
        <f t="shared" ca="1" si="55"/>
        <v/>
      </c>
      <c r="J100" s="155" t="str">
        <f t="shared" ca="1" si="55"/>
        <v/>
      </c>
      <c r="K100" s="156" t="str">
        <f t="shared" ca="1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ca="1" si="56">B63</f>
        <v/>
      </c>
      <c r="C101" s="149" t="str">
        <f t="shared" ca="1" si="56"/>
        <v/>
      </c>
      <c r="D101" s="150" t="str">
        <f t="shared" ca="1" si="56"/>
        <v/>
      </c>
      <c r="E101" s="151" t="str">
        <f t="shared" ca="1" si="56"/>
        <v/>
      </c>
      <c r="F101" s="152"/>
      <c r="G101" s="153"/>
      <c r="H101" s="154" t="str">
        <f t="shared" ref="H101:K101" ca="1" si="57">H63</f>
        <v/>
      </c>
      <c r="I101" s="155" t="str">
        <f t="shared" ca="1" si="57"/>
        <v/>
      </c>
      <c r="J101" s="155" t="str">
        <f t="shared" ca="1" si="57"/>
        <v/>
      </c>
      <c r="K101" s="156" t="str">
        <f t="shared" ca="1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ca="1" si="58">B64</f>
        <v/>
      </c>
      <c r="C102" s="149" t="str">
        <f t="shared" ca="1" si="58"/>
        <v/>
      </c>
      <c r="D102" s="150" t="str">
        <f t="shared" ca="1" si="58"/>
        <v/>
      </c>
      <c r="E102" s="151" t="str">
        <f t="shared" ca="1" si="58"/>
        <v/>
      </c>
      <c r="F102" s="152"/>
      <c r="G102" s="153"/>
      <c r="H102" s="154" t="str">
        <f t="shared" ref="H102:K102" ca="1" si="59">H64</f>
        <v/>
      </c>
      <c r="I102" s="155" t="str">
        <f t="shared" ca="1" si="59"/>
        <v/>
      </c>
      <c r="J102" s="155" t="str">
        <f t="shared" ca="1" si="59"/>
        <v/>
      </c>
      <c r="K102" s="156" t="str">
        <f t="shared" ca="1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02"/>
      <c r="K104" s="302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03">
        <f ca="1">J67</f>
        <v>1194375</v>
      </c>
      <c r="K105" s="304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01"/>
      <c r="K106" s="301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02"/>
      <c r="K108" s="302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03">
        <f ca="1">J71</f>
        <v>118361.48648648646</v>
      </c>
      <c r="K109" s="304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02"/>
      <c r="K110" s="302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1194375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299" t="str">
        <f>J75</f>
        <v>NOVI / CONDRO</v>
      </c>
      <c r="K113" s="300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299">
        <v>0</v>
      </c>
      <c r="K114" s="300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workbookViewId="0">
      <selection activeCell="C12" sqref="C12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106</v>
      </c>
      <c r="F1" t="s">
        <v>111</v>
      </c>
      <c r="G1" t="s">
        <v>107</v>
      </c>
      <c r="H1" t="s">
        <v>109</v>
      </c>
      <c r="I1" t="s">
        <v>110</v>
      </c>
      <c r="J1" t="s">
        <v>7</v>
      </c>
      <c r="K1" s="195" t="s">
        <v>9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145</v>
      </c>
      <c r="B3" s="88"/>
      <c r="C3" s="88"/>
      <c r="E3" s="193">
        <f>MATCH(A3,Table1[H_A1],0)</f>
        <v>9</v>
      </c>
      <c r="F3" s="193">
        <f>MATCH(Table5[[#This Row],[NAMA]],[1]!db[NB PAJAK],0)</f>
        <v>194</v>
      </c>
      <c r="G3" t="str">
        <f>INDEX(Table1[Item Description],Table5[[#This Row],[//NOTA]])</f>
        <v>BINDER CLIP JOYKO 105</v>
      </c>
      <c r="H3">
        <f>SUMIF(Table1[H_A1],Sheet5!A3,Table1[Qty])</f>
        <v>20</v>
      </c>
      <c r="I3" t="str">
        <f>INDEX(Table1[Unit],Table5[[#This Row],[//NOTA]])</f>
        <v>GRS</v>
      </c>
      <c r="J3" s="195">
        <f>SUMIF(Table1[H_A1],Sheet5!A3,Table1[C])</f>
        <v>0</v>
      </c>
      <c r="K3" s="195">
        <f>INDEX(Table1[Unit Price],Table5[[#This Row],[//NOTA]])</f>
        <v>27600</v>
      </c>
      <c r="L3" s="86">
        <f>IF(Table5[[#This Row],[a2]]="","",Table5[[#This Row],[QTY]]*12)</f>
        <v>240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2880</v>
      </c>
      <c r="O3" s="86" t="str">
        <f>IF(Table5[[#This Row],[b1]]="","","PCS")</f>
        <v>PCS</v>
      </c>
      <c r="P3" s="86"/>
    </row>
    <row r="4" spans="1:16" x14ac:dyDescent="0.25">
      <c r="A4" s="88" t="s">
        <v>183</v>
      </c>
      <c r="B4" s="88"/>
      <c r="C4" s="88"/>
      <c r="E4" s="194">
        <f>MATCH(A4,Table1[H_A1],0)</f>
        <v>4</v>
      </c>
      <c r="F4" s="194">
        <f>MATCH(Table5[[#This Row],[NAMA]],[1]!db[NB PAJAK],0)</f>
        <v>203</v>
      </c>
      <c r="G4" t="str">
        <f>INDEX(Table1[Item Description],Table5[[#This Row],[//NOTA]])</f>
        <v>BINDER CLIP JOYKO 260</v>
      </c>
      <c r="H4">
        <f>SUMIF(Table1[H_A1],Sheet5!A4,Table1[Qty])</f>
        <v>5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177000</v>
      </c>
      <c r="L4" s="86">
        <f>IF(Table5[[#This Row],[a2]]="","",Table5[[#This Row],[QTY]]*12)</f>
        <v>60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720</v>
      </c>
      <c r="O4" s="86" t="str">
        <f>IF(Table5[[#This Row],[b1]]="","","PCS")</f>
        <v>PCS</v>
      </c>
      <c r="P4" s="86"/>
    </row>
    <row r="5" spans="1:16" x14ac:dyDescent="0.25">
      <c r="A5" s="88" t="s">
        <v>176</v>
      </c>
      <c r="B5" s="88"/>
      <c r="C5" s="88"/>
      <c r="E5" s="194">
        <f>MATCH(A5,Table1[H_A1],0)</f>
        <v>22</v>
      </c>
      <c r="F5" s="194">
        <f>MATCH(Table5[[#This Row],[NAMA]],[1]!db[NB PAJAK],0)</f>
        <v>527</v>
      </c>
      <c r="G5" t="str">
        <f>INDEX(Table1[Item Description],Table5[[#This Row],[//NOTA]])</f>
        <v>CORRECTION TAPE JOYKO CT-533</v>
      </c>
      <c r="H5">
        <f>SUMIF(Table1[H_A1],Sheet5!A5,Table1[Qty])</f>
        <v>80</v>
      </c>
      <c r="I5" t="str">
        <f>INDEX(Table1[Unit],Table5[[#This Row],[//NOTA]])</f>
        <v>LSN</v>
      </c>
      <c r="J5" s="195">
        <f>SUMIF(Table1[H_A1],Sheet5!A5,Table1[C])</f>
        <v>2</v>
      </c>
      <c r="K5" s="195">
        <f>INDEX(Table1[Unit Price],Table5[[#This Row],[//NOTA]])</f>
        <v>102000</v>
      </c>
      <c r="L5" s="86">
        <f>IF(Table5[[#This Row],[a2]]="","",Table5[[#This Row],[QTY]]*12)</f>
        <v>960</v>
      </c>
      <c r="M5" s="86" t="str">
        <f>IF(Table5[[#This Row],[UNIT]]="grs","LSN",IF(Table5[[#This Row],[UNIT]]="LSN","PCS",""))</f>
        <v>PCS</v>
      </c>
      <c r="N5" s="86" t="str">
        <f>IF(Table5[[#This Row],[a2]]="LSN",Table5[[#This Row],[a1]]*12,"")</f>
        <v/>
      </c>
      <c r="O5" s="86" t="str">
        <f>IF(Table5[[#This Row],[b1]]="","","PCS")</f>
        <v/>
      </c>
      <c r="P5" s="86"/>
    </row>
    <row r="6" spans="1:16" x14ac:dyDescent="0.25">
      <c r="A6" s="88" t="s">
        <v>136</v>
      </c>
      <c r="B6" s="88"/>
      <c r="C6" s="88"/>
      <c r="E6" s="194">
        <f>MATCH(A6,Table1[H_A1],0)</f>
        <v>3</v>
      </c>
      <c r="F6" s="194">
        <f>MATCH(Table5[[#This Row],[NAMA]],[1]!db[NB PAJAK],0)</f>
        <v>1581</v>
      </c>
      <c r="G6" t="str">
        <f>INDEX(Table1[Item Description],Table5[[#This Row],[//NOTA]])</f>
        <v>CRAYON / OIL PASTEL JOYKO OP-72S PP CASE SEA WORLD</v>
      </c>
      <c r="H6">
        <f>SUMIF(Table1[H_A1],Sheet5!A6,Table1[Qty])</f>
        <v>24</v>
      </c>
      <c r="I6" t="str">
        <f>INDEX(Table1[Unit],Table5[[#This Row],[//NOTA]])</f>
        <v>PCS</v>
      </c>
      <c r="J6" s="195">
        <f>SUMIF(Table1[H_A1],Sheet5!A6,Table1[C])</f>
        <v>1</v>
      </c>
      <c r="K6" s="195">
        <f>INDEX(Table1[Unit Price],Table5[[#This Row],[//NOTA]])</f>
        <v>96000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184</v>
      </c>
      <c r="B7" s="88"/>
      <c r="C7" s="88"/>
      <c r="E7" s="194">
        <f>MATCH(A7,Table1[H_A1],0)</f>
        <v>25</v>
      </c>
      <c r="F7" s="194">
        <f>MATCH(Table5[[#This Row],[NAMA]],[1]!db[NB PAJAK],0)</f>
        <v>2173</v>
      </c>
      <c r="G7" t="str">
        <f>INDEX(Table1[Item Description],Table5[[#This Row],[//NOTA]])</f>
        <v>GEL PEN KENKO EASY GEL</v>
      </c>
      <c r="H7">
        <f>SUMIF(Table1[H_A1],Sheet5!A7,Table1[Qty])</f>
        <v>48</v>
      </c>
      <c r="I7" t="str">
        <f>INDEX(Table1[Unit],Table5[[#This Row],[//NOTA]])</f>
        <v>LSN</v>
      </c>
      <c r="J7" s="195">
        <f>SUMIF(Table1[H_A1],Sheet5!A7,Table1[C])</f>
        <v>0</v>
      </c>
      <c r="K7" s="195">
        <f>INDEX(Table1[Unit Price],Table5[[#This Row],[//NOTA]])</f>
        <v>26100</v>
      </c>
      <c r="L7" s="86">
        <f>IF(Table5[[#This Row],[a2]]="","",Table5[[#This Row],[QTY]]*12)</f>
        <v>576</v>
      </c>
      <c r="M7" s="86" t="str">
        <f>IF(Table5[[#This Row],[UNIT]]="grs","LSN",IF(Table5[[#This Row],[UNIT]]="LSN","PCS",""))</f>
        <v>PCS</v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188</v>
      </c>
      <c r="B8" s="88"/>
      <c r="C8" s="88"/>
      <c r="E8" s="194">
        <f>MATCH(A8,Table1[H_A1],0)</f>
        <v>27</v>
      </c>
      <c r="F8" s="194">
        <f>MATCH(Table5[[#This Row],[NAMA]],[1]!db[NB PAJAK],0)</f>
        <v>1173</v>
      </c>
      <c r="G8" t="str">
        <f>INDEX(Table1[Item Description],Table5[[#This Row],[//NOTA]])</f>
        <v>GEL PEN KENKO HI-TECH-H 0.28 MM FUN COLOR BIRU</v>
      </c>
      <c r="H8">
        <f>SUMIF(Table1[H_A1],Sheet5!A8,Table1[Qty])</f>
        <v>35</v>
      </c>
      <c r="I8" t="str">
        <f>INDEX(Table1[Unit],Table5[[#This Row],[//NOTA]])</f>
        <v>LSN</v>
      </c>
      <c r="J8" s="195">
        <f>SUMIF(Table1[H_A1],Sheet5!A8,Table1[C])</f>
        <v>0</v>
      </c>
      <c r="K8" s="195">
        <f>INDEX(Table1[Unit Price],Table5[[#This Row],[//NOTA]])</f>
        <v>39000</v>
      </c>
      <c r="L8" s="86">
        <f>IF(Table5[[#This Row],[a2]]="","",Table5[[#This Row],[QTY]]*12)</f>
        <v>420</v>
      </c>
      <c r="M8" s="86" t="str">
        <f>IF(Table5[[#This Row],[UNIT]]="grs","LSN",IF(Table5[[#This Row],[UNIT]]="LSN","PCS",""))</f>
        <v>PCS</v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158</v>
      </c>
      <c r="B9" s="88"/>
      <c r="C9" s="88"/>
      <c r="E9" s="194">
        <f>MATCH(A9,Table1[H_A1],0)</f>
        <v>16</v>
      </c>
      <c r="F9" s="194">
        <f>MATCH(Table5[[#This Row],[NAMA]],[1]!db[NB PAJAK],0)</f>
        <v>1184</v>
      </c>
      <c r="G9" t="str">
        <f>INDEX(Table1[Item Description],Table5[[#This Row],[//NOTA]])</f>
        <v>GEL PEN KENKO KE-303 T-GEL TRIANGULAR HITAM</v>
      </c>
      <c r="H9">
        <f>SUMIF(Table1[H_A1],Sheet5!A9,Table1[Qty])</f>
        <v>432</v>
      </c>
      <c r="I9" t="str">
        <f>INDEX(Table1[Unit],Table5[[#This Row],[//NOTA]])</f>
        <v>LSN</v>
      </c>
      <c r="J9" s="195">
        <f>SUMIF(Table1[H_A1],Sheet5!A9,Table1[C])</f>
        <v>3</v>
      </c>
      <c r="K9" s="195">
        <f>INDEX(Table1[Unit Price],Table5[[#This Row],[//NOTA]])</f>
        <v>21600</v>
      </c>
      <c r="L9" s="86">
        <f>IF(Table5[[#This Row],[a2]]="","",Table5[[#This Row],[QTY]]*12)</f>
        <v>5184</v>
      </c>
      <c r="M9" s="86" t="str">
        <f>IF(Table5[[#This Row],[UNIT]]="grs","LSN",IF(Table5[[#This Row],[UNIT]]="LSN","PCS",""))</f>
        <v>PCS</v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137</v>
      </c>
      <c r="B10" s="88"/>
      <c r="C10" s="88"/>
      <c r="E10" s="194">
        <f>MATCH(A10,Table1[H_A1],0)</f>
        <v>7</v>
      </c>
      <c r="F10" s="194">
        <f>MATCH(Table5[[#This Row],[NAMA]],[1]!db[NB PAJAK],0)</f>
        <v>1143</v>
      </c>
      <c r="G10" t="str">
        <f>INDEX(Table1[Item Description],Table5[[#This Row],[//NOTA]])</f>
        <v>ISI CUTTER 18 MM KENKO L-150 (BESAR)</v>
      </c>
      <c r="H10">
        <f>SUMIF(Table1[H_A1],Sheet5!A10,Table1[Qty])</f>
        <v>180</v>
      </c>
      <c r="I10" t="str">
        <f>INDEX(Table1[Unit],Table5[[#This Row],[//NOTA]])</f>
        <v>LSN</v>
      </c>
      <c r="J10" s="195">
        <f>SUMIF(Table1[H_A1],Sheet5!A10,Table1[C])</f>
        <v>3</v>
      </c>
      <c r="K10" s="195">
        <f>INDEX(Table1[Unit Price],Table5[[#This Row],[//NOTA]])</f>
        <v>64800</v>
      </c>
      <c r="L10" s="86">
        <f>IF(Table5[[#This Row],[a2]]="","",Table5[[#This Row],[QTY]]*12)</f>
        <v>2160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165</v>
      </c>
      <c r="B11" s="88"/>
      <c r="C11" s="88"/>
      <c r="E11" s="194">
        <f>MATCH(A11,Table1[H_A1],0)</f>
        <v>18</v>
      </c>
      <c r="F11" s="194">
        <f>MATCH(Table5[[#This Row],[NAMA]],[1]!db[NB PAJAK],0)</f>
        <v>1004</v>
      </c>
      <c r="G11" t="str">
        <f>INDEX(Table1[Item Description],Table5[[#This Row],[//NOTA]])</f>
        <v>ISI STAPLER (STAPLES) GREATWALL GW-NO. 10 (KECIL)</v>
      </c>
      <c r="H11">
        <f>SUMIF(Table1[H_A1],Sheet5!A11,Table1[Qty])</f>
        <v>600</v>
      </c>
      <c r="I11" t="str">
        <f>INDEX(Table1[Unit],Table5[[#This Row],[//NOTA]])</f>
        <v>PAK</v>
      </c>
      <c r="J11" s="195">
        <f>SUMIF(Table1[H_A1],Sheet5!A11,Table1[C])</f>
        <v>6</v>
      </c>
      <c r="K11" s="195">
        <f>INDEX(Table1[Unit Price],Table5[[#This Row],[//NOTA]])</f>
        <v>13250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153</v>
      </c>
      <c r="B12" s="88"/>
      <c r="C12" s="88"/>
      <c r="E12" s="194">
        <f>MATCH(A12,Table1[H_A1],0)</f>
        <v>13</v>
      </c>
      <c r="F12" s="194">
        <f>MATCH(Table5[[#This Row],[NAMA]],[1]!db[NB PAJAK],0)</f>
        <v>1200</v>
      </c>
      <c r="G12" t="str">
        <f>INDEX(Table1[Item Description],Table5[[#This Row],[//NOTA]])</f>
        <v>LEM STICK KENKO 15 GR (TANGGUNG) isi 20 pc</v>
      </c>
      <c r="H12">
        <f>SUMIF(Table1[H_A1],Sheet5!A12,Table1[Qty])</f>
        <v>36</v>
      </c>
      <c r="I12" t="str">
        <f>INDEX(Table1[Unit],Table5[[#This Row],[//NOTA]])</f>
        <v>BOX</v>
      </c>
      <c r="J12" s="195">
        <f>SUMIF(Table1[H_A1],Sheet5!A12,Table1[C])</f>
        <v>1</v>
      </c>
      <c r="K12" s="195">
        <f>INDEX(Table1[Unit Price],Table5[[#This Row],[//NOTA]])</f>
        <v>72000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154</v>
      </c>
      <c r="B13" s="88"/>
      <c r="C13" s="88"/>
      <c r="E13" s="194">
        <f>MATCH(A13,Table1[H_A1],0)</f>
        <v>12</v>
      </c>
      <c r="F13" s="194">
        <f>MATCH(Table5[[#This Row],[NAMA]],[1]!db[NB PAJAK],0)</f>
        <v>1202</v>
      </c>
      <c r="G13" t="str">
        <f>INDEX(Table1[Item Description],Table5[[#This Row],[//NOTA]])</f>
        <v>LEM STICK KENKO 8 GR (KECIL) isi 30 pc</v>
      </c>
      <c r="H13">
        <f>SUMIF(Table1[H_A1],Sheet5!A13,Table1[Qty])</f>
        <v>72</v>
      </c>
      <c r="I13" t="str">
        <f>INDEX(Table1[Unit],Table5[[#This Row],[//NOTA]])</f>
        <v>BOX</v>
      </c>
      <c r="J13" s="195">
        <f>SUMIF(Table1[H_A1],Sheet5!A13,Table1[C])</f>
        <v>2</v>
      </c>
      <c r="K13" s="195">
        <f>INDEX(Table1[Unit Price],Table5[[#This Row],[//NOTA]])</f>
        <v>66000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170</v>
      </c>
      <c r="B14" s="88"/>
      <c r="C14" s="88"/>
      <c r="E14" s="194">
        <f>MATCH(A14,Table1[H_A1],0)</f>
        <v>20</v>
      </c>
      <c r="F14" s="194">
        <f>MATCH(Table5[[#This Row],[NAMA]],[1]!db[NB PAJAK],0)</f>
        <v>491</v>
      </c>
      <c r="G14" t="str">
        <f>INDEX(Table1[Item Description],Table5[[#This Row],[//NOTA]])</f>
        <v>PENSIL WARNA JOYKO CP-12PB (PANJANG)</v>
      </c>
      <c r="H14">
        <f>SUMIF(Table1[H_A1],Sheet5!A14,Table1[Qty])</f>
        <v>288</v>
      </c>
      <c r="I14" t="str">
        <f>INDEX(Table1[Unit],Table5[[#This Row],[//NOTA]])</f>
        <v>SET</v>
      </c>
      <c r="J14" s="195">
        <f>SUMIF(Table1[H_A1],Sheet5!A14,Table1[C])</f>
        <v>2</v>
      </c>
      <c r="K14" s="195">
        <f>INDEX(Table1[Unit Price],Table5[[#This Row],[//NOTA]])</f>
        <v>10600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146</v>
      </c>
      <c r="B15" s="88"/>
      <c r="C15" s="88"/>
      <c r="E15" s="194">
        <f>MATCH(A15,Table1[H_A1],0)</f>
        <v>10</v>
      </c>
      <c r="F15" s="194">
        <f>MATCH(Table5[[#This Row],[NAMA]],[1]!db[NB PAJAK],0)</f>
        <v>1045</v>
      </c>
      <c r="G15" t="str">
        <f>INDEX(Table1[Item Description],Table5[[#This Row],[//NOTA]])</f>
        <v>PENSIL WARNA KENKO CP-12F CLASSIC (PANJANG)</v>
      </c>
      <c r="H15">
        <f>SUMIF(Table1[H_A1],Sheet5!A15,Table1[Qty])</f>
        <v>3</v>
      </c>
      <c r="I15" t="str">
        <f>INDEX(Table1[Unit],Table5[[#This Row],[//NOTA]])</f>
        <v>LSN</v>
      </c>
      <c r="J15" s="195">
        <f>SUMIF(Table1[H_A1],Sheet5!A15,Table1[C])</f>
        <v>0</v>
      </c>
      <c r="K15" s="195">
        <f>INDEX(Table1[Unit Price],Table5[[#This Row],[//NOTA]])</f>
        <v>124200</v>
      </c>
      <c r="L15" s="86">
        <f>IF(Table5[[#This Row],[a2]]="","",Table5[[#This Row],[QTY]]*12)</f>
        <v>36</v>
      </c>
      <c r="M15" s="86" t="str">
        <f>IF(Table5[[#This Row],[UNIT]]="grs","LSN",IF(Table5[[#This Row],[UNIT]]="LSN","PCS",""))</f>
        <v>PCS</v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138</v>
      </c>
      <c r="B16" s="88"/>
      <c r="C16" s="88"/>
      <c r="E16" s="194">
        <f>MATCH(A16,Table1[H_A1],0)</f>
        <v>5</v>
      </c>
      <c r="F16" s="194">
        <f>MATCH(Table5[[#This Row],[NAMA]],[1]!db[NB PAJAK],0)</f>
        <v>1095</v>
      </c>
      <c r="G16" t="str">
        <f>INDEX(Table1[Item Description],Table5[[#This Row],[//NOTA]])</f>
        <v>PLAKBAND KAIN HITAM KENKO 48 MM (2") BLUE CORE</v>
      </c>
      <c r="H16">
        <f>SUMIF(Table1[H_A1],Sheet5!A16,Table1[Qty])</f>
        <v>120</v>
      </c>
      <c r="I16" t="str">
        <f>INDEX(Table1[Unit],Table5[[#This Row],[//NOTA]])</f>
        <v>PCS</v>
      </c>
      <c r="J16" s="195">
        <f>SUMIF(Table1[H_A1],Sheet5!A16,Table1[C])</f>
        <v>1</v>
      </c>
      <c r="K16" s="195">
        <f>INDEX(Table1[Unit Price],Table5[[#This Row],[//NOTA]])</f>
        <v>12200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177</v>
      </c>
      <c r="B17" s="88"/>
      <c r="C17" s="88"/>
      <c r="E17" s="194">
        <f>MATCH(A17,Table1[H_A1],0)</f>
        <v>23</v>
      </c>
      <c r="F17" s="194">
        <f>MATCH(Table5[[#This Row],[NAMA]],[1]!db[NB PAJAK],0)</f>
        <v>1911</v>
      </c>
      <c r="G17" t="str">
        <f>INDEX(Table1[Item Description],Table5[[#This Row],[//NOTA]])</f>
        <v>PUNCH JOYKO 30XL</v>
      </c>
      <c r="H17">
        <f>SUMIF(Table1[H_A1],Sheet5!A17,Table1[Qty])</f>
        <v>10</v>
      </c>
      <c r="I17" t="str">
        <f>INDEX(Table1[Unit],Table5[[#This Row],[//NOTA]])</f>
        <v>LSN</v>
      </c>
      <c r="J17" s="195">
        <f>SUMIF(Table1[H_A1],Sheet5!A17,Table1[C])</f>
        <v>1</v>
      </c>
      <c r="K17" s="195">
        <f>INDEX(Table1[Unit Price],Table5[[#This Row],[//NOTA]])</f>
        <v>155400</v>
      </c>
      <c r="L17" s="86">
        <f>IF(Table5[[#This Row],[a2]]="","",Table5[[#This Row],[QTY]]*12)</f>
        <v>120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139</v>
      </c>
      <c r="B18" s="88"/>
      <c r="C18" s="88"/>
      <c r="E18" s="194">
        <f>MATCH(A18,Table1[H_A1],0)</f>
        <v>1</v>
      </c>
      <c r="F18" s="194">
        <f>MATCH(Table5[[#This Row],[NAMA]],[1]!db[NB PAJAK],0)</f>
        <v>1304</v>
      </c>
      <c r="G18" t="str">
        <f>INDEX(Table1[Item Description],Table5[[#This Row],[//NOTA]])</f>
        <v>STAPLER KENKO HD-10</v>
      </c>
      <c r="H18">
        <f>SUMIF(Table1[H_A1],Sheet5!A18,Table1[Qty])</f>
        <v>100</v>
      </c>
      <c r="I18" t="str">
        <f>INDEX(Table1[Unit],Table5[[#This Row],[//NOTA]])</f>
        <v>LSN</v>
      </c>
      <c r="J18" s="195">
        <f>SUMIF(Table1[H_A1],Sheet5!A18,Table1[C])</f>
        <v>5</v>
      </c>
      <c r="K18" s="195">
        <f>INDEX(Table1[Unit Price],Table5[[#This Row],[//NOTA]])</f>
        <v>93000</v>
      </c>
      <c r="L18" s="86">
        <f>IF(Table5[[#This Row],[a2]]="","",Table5[[#This Row],[QTY]]*12)</f>
        <v>1200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55</v>
      </c>
      <c r="B19" s="88"/>
      <c r="C19" s="88"/>
      <c r="E19" s="194" t="e">
        <f>MATCH(A19,Table1[H_A1],0)</f>
        <v>#N/A</v>
      </c>
      <c r="F19" s="194" t="e">
        <f>MATCH(Table5[[#This Row],[NAMA]],[1]!db[NB PAJAK],0)</f>
        <v>#N/A</v>
      </c>
      <c r="G19" t="e">
        <f>INDEX(Table1[Item Description],Table5[[#This Row],[//NOTA]])</f>
        <v>#N/A</v>
      </c>
      <c r="H19">
        <f>SUMIF(Table1[H_A1],Sheet5!A19,Table1[Qty])</f>
        <v>0</v>
      </c>
      <c r="I19" t="e">
        <f>INDEX(Table1[Unit],Table5[[#This Row],[//NOTA]])</f>
        <v>#N/A</v>
      </c>
      <c r="J19" s="195">
        <f>SUMIF(Table1[H_A1],Sheet5!A19,Table1[C])</f>
        <v>0</v>
      </c>
      <c r="K19" s="195" t="e">
        <f>INDEX(Table1[Unit Price],Table5[[#This Row],[//NOTA]])</f>
        <v>#N/A</v>
      </c>
      <c r="L19" s="86" t="e">
        <f>IF(Table5[[#This Row],[a2]]="","",Table5[[#This Row],[QTY]]*12)</f>
        <v>#N/A</v>
      </c>
      <c r="M19" s="86" t="e">
        <f>IF(Table5[[#This Row],[UNIT]]="grs","LSN",IF(Table5[[#This Row],[UNIT]]="LSN","PCS",""))</f>
        <v>#N/A</v>
      </c>
      <c r="N19" s="86" t="e">
        <f>IF(Table5[[#This Row],[a2]]="LSN",Table5[[#This Row],[a1]]*12,"")</f>
        <v>#N/A</v>
      </c>
      <c r="O19" s="86" t="e">
        <f>IF(Table5[[#This Row],[b1]]="","","PCS")</f>
        <v>#N/A</v>
      </c>
      <c r="P19" s="86"/>
    </row>
    <row r="20" spans="1:16" x14ac:dyDescent="0.25">
      <c r="B20" s="88"/>
      <c r="C20" s="88"/>
      <c r="E20" s="194" t="e">
        <f>MATCH(A20,Table1[H_A1],0)</f>
        <v>#N/A</v>
      </c>
      <c r="F20" s="194" t="e">
        <f>MATCH(Table5[[#This Row],[NAMA]],[1]!db[NB PAJAK],0)</f>
        <v>#N/A</v>
      </c>
      <c r="G20" t="e">
        <f>INDEX(Table1[Item Description],Table5[[#This Row],[//NOTA]])</f>
        <v>#N/A</v>
      </c>
      <c r="H20">
        <f>SUMIF(Table1[H_A1],Sheet5!A20,Table1[Qty])</f>
        <v>0</v>
      </c>
      <c r="I20" t="e">
        <f>INDEX(Table1[Unit],Table5[[#This Row],[//NOTA]])</f>
        <v>#N/A</v>
      </c>
      <c r="J20" s="195">
        <f>SUMIF(Table1[H_A1],Sheet5!A20,Table1[C])</f>
        <v>0</v>
      </c>
      <c r="K20" s="195" t="e">
        <f>INDEX(Table1[Unit Price],Table5[[#This Row],[//NOTA]])</f>
        <v>#N/A</v>
      </c>
      <c r="L20" s="86" t="e">
        <f>IF(Table5[[#This Row],[a2]]="","",Table5[[#This Row],[QTY]]*12)</f>
        <v>#N/A</v>
      </c>
      <c r="M20" s="86" t="e">
        <f>IF(Table5[[#This Row],[UNIT]]="grs","LSN",IF(Table5[[#This Row],[UNIT]]="LSN","PCS",""))</f>
        <v>#N/A</v>
      </c>
      <c r="N20" s="86" t="e">
        <f>IF(Table5[[#This Row],[a2]]="LSN",Table5[[#This Row],[a1]]*12,"")</f>
        <v>#N/A</v>
      </c>
      <c r="O20" s="86" t="e">
        <f>IF(Table5[[#This Row],[b1]]="","","PCS")</f>
        <v>#N/A</v>
      </c>
      <c r="P20" s="86"/>
    </row>
    <row r="21" spans="1:16" x14ac:dyDescent="0.25">
      <c r="B21" s="88"/>
      <c r="C21" s="88"/>
      <c r="E21" s="194" t="e">
        <f>MATCH(A21,Table1[H_A1],0)</f>
        <v>#N/A</v>
      </c>
      <c r="F21" s="194" t="e">
        <f>MATCH(Table5[[#This Row],[NAMA]],[1]!db[NB PAJAK],0)</f>
        <v>#N/A</v>
      </c>
      <c r="G21" t="e">
        <f>INDEX(Table1[Item Description],Table5[[#This Row],[//NOTA]])</f>
        <v>#N/A</v>
      </c>
      <c r="H21">
        <f>SUMIF(Table1[H_A1],Sheet5!A21,Table1[Qty])</f>
        <v>0</v>
      </c>
      <c r="I21" t="e">
        <f>INDEX(Table1[Unit],Table5[[#This Row],[//NOTA]])</f>
        <v>#N/A</v>
      </c>
      <c r="J21" s="195">
        <f>SUMIF(Table1[H_A1],Sheet5!A21,Table1[C])</f>
        <v>0</v>
      </c>
      <c r="K21" s="195" t="e">
        <f>INDEX(Table1[Unit Price],Table5[[#This Row],[//NOTA]])</f>
        <v>#N/A</v>
      </c>
      <c r="L21" s="86" t="e">
        <f>IF(Table5[[#This Row],[a2]]="","",Table5[[#This Row],[QTY]]*12)</f>
        <v>#N/A</v>
      </c>
      <c r="M21" s="86" t="e">
        <f>IF(Table5[[#This Row],[UNIT]]="grs","LSN",IF(Table5[[#This Row],[UNIT]]="LSN","PCS",""))</f>
        <v>#N/A</v>
      </c>
      <c r="N21" s="86" t="e">
        <f>IF(Table5[[#This Row],[a2]]="LSN",Table5[[#This Row],[a1]]*12,"")</f>
        <v>#N/A</v>
      </c>
      <c r="O21" s="86" t="e">
        <f>IF(Table5[[#This Row],[b1]]="","","PCS")</f>
        <v>#N/A</v>
      </c>
      <c r="P21" s="86"/>
    </row>
    <row r="22" spans="1:16" x14ac:dyDescent="0.25">
      <c r="B22" s="88"/>
      <c r="C22" s="88"/>
      <c r="E22" s="194" t="e">
        <f>MATCH(A22,Table1[H_A1],0)</f>
        <v>#N/A</v>
      </c>
      <c r="F22" s="194" t="e">
        <f>MATCH(Table5[[#This Row],[NAMA]],[1]!db[NB PAJAK],0)</f>
        <v>#N/A</v>
      </c>
      <c r="G22" t="e">
        <f>INDEX(Table1[Item Description],Table5[[#This Row],[//NOTA]])</f>
        <v>#N/A</v>
      </c>
      <c r="H22">
        <f>SUMIF(Table1[H_A1],Sheet5!A22,Table1[Qty])</f>
        <v>0</v>
      </c>
      <c r="I22" t="e">
        <f>INDEX(Table1[Unit],Table5[[#This Row],[//NOTA]])</f>
        <v>#N/A</v>
      </c>
      <c r="J22" s="195">
        <f>SUMIF(Table1[H_A1],Sheet5!A22,Table1[C])</f>
        <v>0</v>
      </c>
      <c r="K22" s="195" t="e">
        <f>INDEX(Table1[Unit Price],Table5[[#This Row],[//NOTA]])</f>
        <v>#N/A</v>
      </c>
      <c r="L22" s="86" t="e">
        <f>IF(Table5[[#This Row],[a2]]="","",Table5[[#This Row],[QTY]]*12)</f>
        <v>#N/A</v>
      </c>
      <c r="M22" s="86" t="e">
        <f>IF(Table5[[#This Row],[UNIT]]="grs","LSN",IF(Table5[[#This Row],[UNIT]]="LSN","PCS",""))</f>
        <v>#N/A</v>
      </c>
      <c r="N22" s="86" t="e">
        <f>IF(Table5[[#This Row],[a2]]="LSN",Table5[[#This Row],[a1]]*12,"")</f>
        <v>#N/A</v>
      </c>
      <c r="O22" s="86" t="e">
        <f>IF(Table5[[#This Row],[b1]]="","","PCS")</f>
        <v>#N/A</v>
      </c>
      <c r="P22" s="86"/>
    </row>
    <row r="23" spans="1:16" x14ac:dyDescent="0.25">
      <c r="B23" s="88"/>
      <c r="C23" s="88"/>
      <c r="E23" s="194" t="e">
        <f>MATCH(A23,Table1[H_A1],0)</f>
        <v>#N/A</v>
      </c>
      <c r="F23" s="194" t="e">
        <f>MATCH(Table5[[#This Row],[NAMA]],[1]!db[NB PAJAK],0)</f>
        <v>#N/A</v>
      </c>
      <c r="G23" t="e">
        <f>INDEX(Table1[Item Description],Table5[[#This Row],[//NOTA]])</f>
        <v>#N/A</v>
      </c>
      <c r="H23">
        <f>SUMIF(Table1[H_A1],Sheet5!A23,Table1[Qty])</f>
        <v>0</v>
      </c>
      <c r="I23" t="e">
        <f>INDEX(Table1[Unit],Table5[[#This Row],[//NOTA]])</f>
        <v>#N/A</v>
      </c>
      <c r="J23" s="195">
        <f>SUMIF(Table1[H_A1],Sheet5!A23,Table1[C])</f>
        <v>0</v>
      </c>
      <c r="K23" s="195" t="e">
        <f>INDEX(Table1[Unit Price],Table5[[#This Row],[//NOTA]])</f>
        <v>#N/A</v>
      </c>
      <c r="L23" s="86" t="e">
        <f>IF(Table5[[#This Row],[a2]]="","",Table5[[#This Row],[QTY]]*12)</f>
        <v>#N/A</v>
      </c>
      <c r="M23" s="86" t="e">
        <f>IF(Table5[[#This Row],[UNIT]]="grs","LSN",IF(Table5[[#This Row],[UNIT]]="LSN","PCS",""))</f>
        <v>#N/A</v>
      </c>
      <c r="N23" s="86" t="e">
        <f>IF(Table5[[#This Row],[a2]]="LSN",Table5[[#This Row],[a1]]*12,"")</f>
        <v>#N/A</v>
      </c>
      <c r="O23" s="86" t="e">
        <f>IF(Table5[[#This Row],[b1]]="","","PCS")</f>
        <v>#N/A</v>
      </c>
      <c r="P23" s="86"/>
    </row>
    <row r="24" spans="1:16" x14ac:dyDescent="0.25">
      <c r="B24" s="88"/>
      <c r="C24" s="88"/>
      <c r="E24" s="194" t="e">
        <f>MATCH(A24,Table1[H_A1],0)</f>
        <v>#N/A</v>
      </c>
      <c r="F24" s="194" t="e">
        <f>MATCH(Table5[[#This Row],[NAMA]],[1]!db[NB PAJAK],0)</f>
        <v>#N/A</v>
      </c>
      <c r="G24" t="e">
        <f>INDEX(Table1[Item Description],Table5[[#This Row],[//NOTA]])</f>
        <v>#N/A</v>
      </c>
      <c r="H24">
        <f>SUMIF(Table1[H_A1],Sheet5!A24,Table1[Qty])</f>
        <v>0</v>
      </c>
      <c r="I24" t="e">
        <f>INDEX(Table1[Unit],Table5[[#This Row],[//NOTA]])</f>
        <v>#N/A</v>
      </c>
      <c r="J24" s="195">
        <f>SUMIF(Table1[H_A1],Sheet5!A24,Table1[C])</f>
        <v>0</v>
      </c>
      <c r="K24" s="195" t="e">
        <f>INDEX(Table1[Unit Price],Table5[[#This Row],[//NOTA]])</f>
        <v>#N/A</v>
      </c>
      <c r="L24" s="86" t="e">
        <f>IF(Table5[[#This Row],[a2]]="","",Table5[[#This Row],[QTY]]*12)</f>
        <v>#N/A</v>
      </c>
      <c r="M24" s="86" t="e">
        <f>IF(Table5[[#This Row],[UNIT]]="grs","LSN",IF(Table5[[#This Row],[UNIT]]="LSN","PCS",""))</f>
        <v>#N/A</v>
      </c>
      <c r="N24" s="86" t="e">
        <f>IF(Table5[[#This Row],[a2]]="LSN",Table5[[#This Row],[a1]]*12,"")</f>
        <v>#N/A</v>
      </c>
      <c r="O24" s="86" t="e">
        <f>IF(Table5[[#This Row],[b1]]="","","PCS")</f>
        <v>#N/A</v>
      </c>
      <c r="P24" s="86"/>
    </row>
    <row r="25" spans="1:16" x14ac:dyDescent="0.25">
      <c r="B25" s="88"/>
      <c r="C25" s="88"/>
      <c r="E25" s="194" t="e">
        <f>MATCH(A25,Table1[H_A1],0)</f>
        <v>#N/A</v>
      </c>
      <c r="F25" s="194" t="e">
        <f>MATCH(Table5[[#This Row],[NAMA]],[1]!db[NB PAJAK],0)</f>
        <v>#N/A</v>
      </c>
      <c r="G25" t="e">
        <f>INDEX(Table1[Item Description],Table5[[#This Row],[//NOTA]])</f>
        <v>#N/A</v>
      </c>
      <c r="H25">
        <f>SUMIF(Table1[H_A1],Sheet5!A25,Table1[Qty])</f>
        <v>0</v>
      </c>
      <c r="I25" t="e">
        <f>INDEX(Table1[Unit],Table5[[#This Row],[//NOTA]])</f>
        <v>#N/A</v>
      </c>
      <c r="J25" s="195">
        <f>SUMIF(Table1[H_A1],Sheet5!A25,Table1[C])</f>
        <v>0</v>
      </c>
      <c r="K25" s="195" t="e">
        <f>INDEX(Table1[Unit Price],Table5[[#This Row],[//NOTA]])</f>
        <v>#N/A</v>
      </c>
      <c r="L25" s="86" t="e">
        <f>IF(Table5[[#This Row],[a2]]="","",Table5[[#This Row],[QTY]]*12)</f>
        <v>#N/A</v>
      </c>
      <c r="M25" s="86" t="e">
        <f>IF(Table5[[#This Row],[UNIT]]="grs","LSN",IF(Table5[[#This Row],[UNIT]]="LSN","PCS",""))</f>
        <v>#N/A</v>
      </c>
      <c r="N25" s="86" t="e">
        <f>IF(Table5[[#This Row],[a2]]="LSN",Table5[[#This Row],[a1]]*12,"")</f>
        <v>#N/A</v>
      </c>
      <c r="O25" s="86" t="e">
        <f>IF(Table5[[#This Row],[b1]]="","","PCS")</f>
        <v>#N/A</v>
      </c>
      <c r="P25" s="86"/>
    </row>
    <row r="26" spans="1:16" x14ac:dyDescent="0.25">
      <c r="B26" s="88"/>
      <c r="C26" s="88"/>
      <c r="E26" s="194" t="e">
        <f>MATCH(A26,Table1[H_A1],0)</f>
        <v>#N/A</v>
      </c>
      <c r="F26" s="194" t="e">
        <f>MATCH(Table5[[#This Row],[NAMA]],[1]!db[NB PAJAK],0)</f>
        <v>#N/A</v>
      </c>
      <c r="G26" t="e">
        <f>INDEX(Table1[Item Description],Table5[[#This Row],[//NOTA]])</f>
        <v>#N/A</v>
      </c>
      <c r="H26">
        <f>SUMIF(Table1[H_A1],Sheet5!A26,Table1[Qty])</f>
        <v>0</v>
      </c>
      <c r="I26" t="e">
        <f>INDEX(Table1[Unit],Table5[[#This Row],[//NOTA]])</f>
        <v>#N/A</v>
      </c>
      <c r="J26" s="195">
        <f>SUMIF(Table1[H_A1],Sheet5!A26,Table1[C])</f>
        <v>0</v>
      </c>
      <c r="K26" s="195" t="e">
        <f>INDEX(Table1[Unit Price],Table5[[#This Row],[//NOTA]])</f>
        <v>#N/A</v>
      </c>
      <c r="L26" s="86" t="e">
        <f>IF(Table5[[#This Row],[a2]]="","",Table5[[#This Row],[QTY]]*12)</f>
        <v>#N/A</v>
      </c>
      <c r="M26" s="86" t="e">
        <f>IF(Table5[[#This Row],[UNIT]]="grs","LSN",IF(Table5[[#This Row],[UNIT]]="LSN","PCS",""))</f>
        <v>#N/A</v>
      </c>
      <c r="N26" s="86" t="e">
        <f>IF(Table5[[#This Row],[a2]]="LSN",Table5[[#This Row],[a1]]*12,"")</f>
        <v>#N/A</v>
      </c>
      <c r="O26" s="86" t="e">
        <f>IF(Table5[[#This Row],[b1]]="","","PCS")</f>
        <v>#N/A</v>
      </c>
      <c r="P26" s="86"/>
    </row>
    <row r="27" spans="1:16" x14ac:dyDescent="0.25">
      <c r="B27" s="88"/>
      <c r="C27" s="88"/>
      <c r="E27" s="194" t="e">
        <f>MATCH(A27,Table1[H_A1],0)</f>
        <v>#N/A</v>
      </c>
      <c r="F27" s="194" t="e">
        <f>MATCH(Table5[[#This Row],[NAMA]],[1]!db[NB PAJAK],0)</f>
        <v>#N/A</v>
      </c>
      <c r="G27" t="e">
        <f>INDEX(Table1[Item Description],Table5[[#This Row],[//NOTA]])</f>
        <v>#N/A</v>
      </c>
      <c r="H27">
        <f>SUMIF(Table1[H_A1],Sheet5!A27,Table1[Qty])</f>
        <v>0</v>
      </c>
      <c r="I27" t="e">
        <f>INDEX(Table1[Unit],Table5[[#This Row],[//NOTA]])</f>
        <v>#N/A</v>
      </c>
      <c r="J27" s="195">
        <f>SUMIF(Table1[H_A1],Sheet5!A27,Table1[C])</f>
        <v>0</v>
      </c>
      <c r="K27" s="195" t="e">
        <f>INDEX(Table1[Unit Price],Table5[[#This Row],[//NOTA]])</f>
        <v>#N/A</v>
      </c>
      <c r="L27" s="86" t="e">
        <f>IF(Table5[[#This Row],[a2]]="","",Table5[[#This Row],[QTY]]*12)</f>
        <v>#N/A</v>
      </c>
      <c r="M27" s="86" t="e">
        <f>IF(Table5[[#This Row],[UNIT]]="grs","LSN",IF(Table5[[#This Row],[UNIT]]="LSN","PCS",""))</f>
        <v>#N/A</v>
      </c>
      <c r="N27" s="86" t="e">
        <f>IF(Table5[[#This Row],[a2]]="LSN",Table5[[#This Row],[a1]]*12,"")</f>
        <v>#N/A</v>
      </c>
      <c r="O27" s="86" t="e">
        <f>IF(Table5[[#This Row],[b1]]="","","PCS")</f>
        <v>#N/A</v>
      </c>
      <c r="P27" s="86"/>
    </row>
    <row r="28" spans="1:16" x14ac:dyDescent="0.25">
      <c r="B28" s="88"/>
      <c r="C28" s="88"/>
      <c r="E28" s="194" t="e">
        <f>MATCH(A28,Table1[H_A1],0)</f>
        <v>#N/A</v>
      </c>
      <c r="F28" s="194" t="e">
        <f>MATCH(Table5[[#This Row],[NAMA]],[1]!db[NB PAJAK],0)</f>
        <v>#N/A</v>
      </c>
      <c r="G28" t="e">
        <f>INDEX(Table1[Item Description],Table5[[#This Row],[//NOTA]])</f>
        <v>#N/A</v>
      </c>
      <c r="H28">
        <f>SUMIF(Table1[H_A1],Sheet5!A28,Table1[Qty])</f>
        <v>0</v>
      </c>
      <c r="I28" t="e">
        <f>INDEX(Table1[Unit],Table5[[#This Row],[//NOTA]])</f>
        <v>#N/A</v>
      </c>
      <c r="J28" s="195">
        <f>SUMIF(Table1[H_A1],Sheet5!A28,Table1[C])</f>
        <v>0</v>
      </c>
      <c r="K28" s="195" t="e">
        <f>INDEX(Table1[Unit Price],Table5[[#This Row],[//NOTA]])</f>
        <v>#N/A</v>
      </c>
      <c r="L28" s="86" t="e">
        <f>IF(Table5[[#This Row],[a2]]="","",Table5[[#This Row],[QTY]]*12)</f>
        <v>#N/A</v>
      </c>
      <c r="M28" s="86" t="e">
        <f>IF(Table5[[#This Row],[UNIT]]="grs","LSN",IF(Table5[[#This Row],[UNIT]]="LSN","PCS",""))</f>
        <v>#N/A</v>
      </c>
      <c r="N28" s="86" t="e">
        <f>IF(Table5[[#This Row],[a2]]="LSN",Table5[[#This Row],[a1]]*12,"")</f>
        <v>#N/A</v>
      </c>
      <c r="O28" s="86" t="e">
        <f>IF(Table5[[#This Row],[b1]]="","","PCS")</f>
        <v>#N/A</v>
      </c>
      <c r="P28" s="86"/>
    </row>
    <row r="29" spans="1:16" x14ac:dyDescent="0.25">
      <c r="B29" s="88"/>
      <c r="C29" s="88"/>
      <c r="E29" s="194" t="e">
        <f>MATCH(A29,Table1[H_A1],0)</f>
        <v>#N/A</v>
      </c>
      <c r="F29" s="194" t="e">
        <f>MATCH(Table5[[#This Row],[NAMA]],[1]!db[NB PAJAK],0)</f>
        <v>#N/A</v>
      </c>
      <c r="G29" t="e">
        <f>INDEX(Table1[Item Description],Table5[[#This Row],[//NOTA]])</f>
        <v>#N/A</v>
      </c>
      <c r="H29">
        <f>SUMIF(Table1[H_A1],Sheet5!A29,Table1[Qty])</f>
        <v>0</v>
      </c>
      <c r="I29" t="e">
        <f>INDEX(Table1[Unit],Table5[[#This Row],[//NOTA]])</f>
        <v>#N/A</v>
      </c>
      <c r="J29" s="195">
        <f>SUMIF(Table1[H_A1],Sheet5!A29,Table1[C])</f>
        <v>0</v>
      </c>
      <c r="K29" s="195" t="e">
        <f>INDEX(Table1[Unit Price],Table5[[#This Row],[//NOTA]])</f>
        <v>#N/A</v>
      </c>
      <c r="L29" s="86" t="e">
        <f>IF(Table5[[#This Row],[a2]]="","",Table5[[#This Row],[QTY]]*12)</f>
        <v>#N/A</v>
      </c>
      <c r="M29" s="86" t="e">
        <f>IF(Table5[[#This Row],[UNIT]]="grs","LSN",IF(Table5[[#This Row],[UNIT]]="LSN","PCS",""))</f>
        <v>#N/A</v>
      </c>
      <c r="N29" s="86" t="e">
        <f>IF(Table5[[#This Row],[a2]]="LSN",Table5[[#This Row],[a1]]*12,"")</f>
        <v>#N/A</v>
      </c>
      <c r="O29" s="86" t="e">
        <f>IF(Table5[[#This Row],[b1]]="","","PCS")</f>
        <v>#N/A</v>
      </c>
      <c r="P29" s="86"/>
    </row>
    <row r="30" spans="1:16" x14ac:dyDescent="0.25">
      <c r="B30" s="88"/>
      <c r="C30" s="88"/>
      <c r="E30" s="194" t="e">
        <f>MATCH(A30,Table1[H_A1],0)</f>
        <v>#N/A</v>
      </c>
      <c r="F30" s="194" t="e">
        <f>MATCH(Table5[[#This Row],[NAMA]],[1]!db[NB PAJAK],0)</f>
        <v>#N/A</v>
      </c>
      <c r="G30" t="e">
        <f>INDEX(Table1[Item Description],Table5[[#This Row],[//NOTA]])</f>
        <v>#N/A</v>
      </c>
      <c r="H30">
        <f>SUMIF(Table1[H_A1],Sheet5!A30,Table1[Qty])</f>
        <v>0</v>
      </c>
      <c r="I30" t="e">
        <f>INDEX(Table1[Unit],Table5[[#This Row],[//NOTA]])</f>
        <v>#N/A</v>
      </c>
      <c r="J30" s="195">
        <f>SUMIF(Table1[H_A1],Sheet5!A30,Table1[C])</f>
        <v>0</v>
      </c>
      <c r="K30" s="195" t="e">
        <f>INDEX(Table1[Unit Price],Table5[[#This Row],[//NOTA]])</f>
        <v>#N/A</v>
      </c>
      <c r="L30" s="86" t="e">
        <f>IF(Table5[[#This Row],[a2]]="","",Table5[[#This Row],[QTY]]*12)</f>
        <v>#N/A</v>
      </c>
      <c r="M30" s="86" t="e">
        <f>IF(Table5[[#This Row],[UNIT]]="grs","LSN",IF(Table5[[#This Row],[UNIT]]="LSN","PCS",""))</f>
        <v>#N/A</v>
      </c>
      <c r="N30" s="86" t="e">
        <f>IF(Table5[[#This Row],[a2]]="LSN",Table5[[#This Row],[a1]]*12,"")</f>
        <v>#N/A</v>
      </c>
      <c r="O30" s="86" t="e">
        <f>IF(Table5[[#This Row],[b1]]="","","PCS")</f>
        <v>#N/A</v>
      </c>
      <c r="P30" s="86"/>
    </row>
    <row r="31" spans="1:16" x14ac:dyDescent="0.25">
      <c r="B31" s="88"/>
      <c r="C31" s="88"/>
      <c r="E31" s="194" t="e">
        <f>MATCH(A31,Table1[H_A1],0)</f>
        <v>#N/A</v>
      </c>
      <c r="F31" s="194" t="e">
        <f>MATCH(Table5[[#This Row],[NAMA]],[1]!db[NB PAJAK],0)</f>
        <v>#N/A</v>
      </c>
      <c r="G31" t="e">
        <f>INDEX(Table1[Item Description],Table5[[#This Row],[//NOTA]])</f>
        <v>#N/A</v>
      </c>
      <c r="H31">
        <f>SUMIF(Table1[H_A1],Sheet5!A31,Table1[Qty])</f>
        <v>0</v>
      </c>
      <c r="I31" t="e">
        <f>INDEX(Table1[Unit],Table5[[#This Row],[//NOTA]])</f>
        <v>#N/A</v>
      </c>
      <c r="J31" s="195">
        <f>SUMIF(Table1[H_A1],Sheet5!A31,Table1[C])</f>
        <v>0</v>
      </c>
      <c r="K31" s="195" t="e">
        <f>INDEX(Table1[Unit Price],Table5[[#This Row],[//NOTA]])</f>
        <v>#N/A</v>
      </c>
      <c r="L31" s="86" t="e">
        <f>IF(Table5[[#This Row],[a2]]="","",Table5[[#This Row],[QTY]]*12)</f>
        <v>#N/A</v>
      </c>
      <c r="M31" s="86" t="e">
        <f>IF(Table5[[#This Row],[UNIT]]="grs","LSN",IF(Table5[[#This Row],[UNIT]]="LSN","PCS",""))</f>
        <v>#N/A</v>
      </c>
      <c r="N31" s="86" t="e">
        <f>IF(Table5[[#This Row],[a2]]="LSN",Table5[[#This Row],[a1]]*12,"")</f>
        <v>#N/A</v>
      </c>
      <c r="O31" s="86" t="e">
        <f>IF(Table5[[#This Row],[b1]]="","","PCS")</f>
        <v>#N/A</v>
      </c>
      <c r="P31" s="86"/>
    </row>
    <row r="32" spans="1:16" x14ac:dyDescent="0.25">
      <c r="B32" s="88"/>
      <c r="C32" s="88"/>
      <c r="E32" s="194" t="e">
        <f>MATCH(A32,Table1[H_A1],0)</f>
        <v>#N/A</v>
      </c>
      <c r="F32" s="194" t="e">
        <f>MATCH(Table5[[#This Row],[NAMA]],[1]!db[NB PAJAK],0)</f>
        <v>#N/A</v>
      </c>
      <c r="G32" t="e">
        <f>INDEX(Table1[Item Description],Table5[[#This Row],[//NOTA]])</f>
        <v>#N/A</v>
      </c>
      <c r="H32">
        <f>SUMIF(Table1[H_A1],Sheet5!A32,Table1[Qty])</f>
        <v>0</v>
      </c>
      <c r="I32" t="e">
        <f>INDEX(Table1[Unit],Table5[[#This Row],[//NOTA]])</f>
        <v>#N/A</v>
      </c>
      <c r="J32" s="195">
        <f>SUMIF(Table1[H_A1],Sheet5!A32,Table1[C])</f>
        <v>0</v>
      </c>
      <c r="K32" s="195" t="e">
        <f>INDEX(Table1[Unit Price],Table5[[#This Row],[//NOTA]])</f>
        <v>#N/A</v>
      </c>
      <c r="L32" s="86" t="e">
        <f>IF(Table5[[#This Row],[a2]]="","",Table5[[#This Row],[QTY]]*12)</f>
        <v>#N/A</v>
      </c>
      <c r="M32" s="86" t="e">
        <f>IF(Table5[[#This Row],[UNIT]]="grs","LSN",IF(Table5[[#This Row],[UNIT]]="LSN","PCS",""))</f>
        <v>#N/A</v>
      </c>
      <c r="N32" s="86" t="e">
        <f>IF(Table5[[#This Row],[a2]]="LSN",Table5[[#This Row],[a1]]*12,"")</f>
        <v>#N/A</v>
      </c>
      <c r="O32" s="86" t="e">
        <f>IF(Table5[[#This Row],[b1]]="","","PCS")</f>
        <v>#N/A</v>
      </c>
      <c r="P32" s="86"/>
    </row>
    <row r="33" spans="2:16" x14ac:dyDescent="0.25">
      <c r="B33" s="88"/>
      <c r="C33" s="88"/>
      <c r="E33" s="194" t="e">
        <f>MATCH(A33,Table1[H_A1],0)</f>
        <v>#N/A</v>
      </c>
      <c r="F33" s="194" t="e">
        <f>MATCH(Table5[[#This Row],[NAMA]],[1]!db[NB PAJAK],0)</f>
        <v>#N/A</v>
      </c>
      <c r="G33" t="e">
        <f>INDEX(Table1[Item Description],Table5[[#This Row],[//NOTA]])</f>
        <v>#N/A</v>
      </c>
      <c r="H33">
        <f>SUMIF(Table1[H_A1],Sheet5!A33,Table1[Qty])</f>
        <v>0</v>
      </c>
      <c r="I33" t="e">
        <f>INDEX(Table1[Unit],Table5[[#This Row],[//NOTA]])</f>
        <v>#N/A</v>
      </c>
      <c r="J33" s="195">
        <f>SUMIF(Table1[H_A1],Sheet5!A33,Table1[C])</f>
        <v>0</v>
      </c>
      <c r="K33" s="195" t="e">
        <f>INDEX(Table1[Unit Price],Table5[[#This Row],[//NOTA]])</f>
        <v>#N/A</v>
      </c>
      <c r="L33" s="86" t="e">
        <f>IF(Table5[[#This Row],[a2]]="","",Table5[[#This Row],[QTY]]*12)</f>
        <v>#N/A</v>
      </c>
      <c r="M33" s="86" t="e">
        <f>IF(Table5[[#This Row],[UNIT]]="grs","LSN",IF(Table5[[#This Row],[UNIT]]="LSN","PCS",""))</f>
        <v>#N/A</v>
      </c>
      <c r="N33" s="86" t="e">
        <f>IF(Table5[[#This Row],[a2]]="LSN",Table5[[#This Row],[a1]]*12,"")</f>
        <v>#N/A</v>
      </c>
      <c r="O33" s="86" t="e">
        <f>IF(Table5[[#This Row],[b1]]="","","PCS")</f>
        <v>#N/A</v>
      </c>
      <c r="P33" s="86"/>
    </row>
    <row r="34" spans="2:16" x14ac:dyDescent="0.25">
      <c r="B34" s="88"/>
      <c r="C34" s="88"/>
      <c r="E34" s="194" t="e">
        <f>MATCH(A34,Table1[H_A1],0)</f>
        <v>#N/A</v>
      </c>
      <c r="F34" s="194" t="e">
        <f>MATCH(Table5[[#This Row],[NAMA]],[1]!db[NB PAJAK],0)</f>
        <v>#N/A</v>
      </c>
      <c r="G34" t="e">
        <f>INDEX(Table1[Item Description],Table5[[#This Row],[//NOTA]])</f>
        <v>#N/A</v>
      </c>
      <c r="H34">
        <f>SUMIF(Table1[H_A1],Sheet5!A34,Table1[Qty])</f>
        <v>0</v>
      </c>
      <c r="I34" t="e">
        <f>INDEX(Table1[Unit],Table5[[#This Row],[//NOTA]])</f>
        <v>#N/A</v>
      </c>
      <c r="J34" s="195">
        <f>SUMIF(Table1[H_A1],Sheet5!A34,Table1[C])</f>
        <v>0</v>
      </c>
      <c r="K34" s="195" t="e">
        <f>INDEX(Table1[Unit Price],Table5[[#This Row],[//NOTA]])</f>
        <v>#N/A</v>
      </c>
      <c r="L34" s="86" t="e">
        <f>IF(Table5[[#This Row],[a2]]="","",Table5[[#This Row],[QTY]]*12)</f>
        <v>#N/A</v>
      </c>
      <c r="M34" s="86" t="e">
        <f>IF(Table5[[#This Row],[UNIT]]="grs","LSN",IF(Table5[[#This Row],[UNIT]]="LSN","PCS",""))</f>
        <v>#N/A</v>
      </c>
      <c r="N34" s="86" t="e">
        <f>IF(Table5[[#This Row],[a2]]="LSN",Table5[[#This Row],[a1]]*12,"")</f>
        <v>#N/A</v>
      </c>
      <c r="O34" s="86" t="e">
        <f>IF(Table5[[#This Row],[b1]]="","","PCS")</f>
        <v>#N/A</v>
      </c>
      <c r="P34" s="86"/>
    </row>
    <row r="35" spans="2:16" x14ac:dyDescent="0.25">
      <c r="B35" s="88"/>
      <c r="C35" s="88"/>
      <c r="E35" s="194" t="e">
        <f>MATCH(A35,Table1[H_A1],0)</f>
        <v>#N/A</v>
      </c>
      <c r="F35" s="194" t="e">
        <f>MATCH(Table5[[#This Row],[NAMA]],[1]!db[NB PAJAK],0)</f>
        <v>#N/A</v>
      </c>
      <c r="G35" t="e">
        <f>INDEX(Table1[Item Description],Table5[[#This Row],[//NOTA]])</f>
        <v>#N/A</v>
      </c>
      <c r="H35">
        <f>SUMIF(Table1[H_A1],Sheet5!A35,Table1[Qty])</f>
        <v>0</v>
      </c>
      <c r="I35" t="e">
        <f>INDEX(Table1[Unit],Table5[[#This Row],[//NOTA]])</f>
        <v>#N/A</v>
      </c>
      <c r="J35" s="195">
        <f>SUMIF(Table1[H_A1],Sheet5!A35,Table1[C])</f>
        <v>0</v>
      </c>
      <c r="K35" s="195" t="e">
        <f>INDEX(Table1[Unit Price],Table5[[#This Row],[//NOTA]])</f>
        <v>#N/A</v>
      </c>
      <c r="L35" s="86" t="e">
        <f>IF(Table5[[#This Row],[a2]]="","",Table5[[#This Row],[QTY]]*12)</f>
        <v>#N/A</v>
      </c>
      <c r="M35" s="86" t="e">
        <f>IF(Table5[[#This Row],[UNIT]]="grs","LSN",IF(Table5[[#This Row],[UNIT]]="LSN","PCS",""))</f>
        <v>#N/A</v>
      </c>
      <c r="N35" s="86" t="e">
        <f>IF(Table5[[#This Row],[a2]]="LSN",Table5[[#This Row],[a1]]*12,"")</f>
        <v>#N/A</v>
      </c>
      <c r="O35" s="86" t="e">
        <f>IF(Table5[[#This Row],[b1]]="","","PCS")</f>
        <v>#N/A</v>
      </c>
      <c r="P35" s="86"/>
    </row>
    <row r="36" spans="2:16" x14ac:dyDescent="0.25">
      <c r="B36" s="88"/>
      <c r="C36" s="88"/>
      <c r="E36" s="194" t="e">
        <f>MATCH(A36,Table1[H_A1],0)</f>
        <v>#N/A</v>
      </c>
      <c r="F36" s="194" t="e">
        <f>MATCH(Table5[[#This Row],[NAMA]],[1]!db[NB PAJAK],0)</f>
        <v>#N/A</v>
      </c>
      <c r="G36" t="e">
        <f>INDEX(Table1[Item Description],Table5[[#This Row],[//NOTA]])</f>
        <v>#N/A</v>
      </c>
      <c r="H36">
        <f>SUMIF(Table1[H_A1],Sheet5!A36,Table1[Qty])</f>
        <v>0</v>
      </c>
      <c r="I36" t="e">
        <f>INDEX(Table1[Unit],Table5[[#This Row],[//NOTA]])</f>
        <v>#N/A</v>
      </c>
      <c r="J36" s="195">
        <f>SUMIF(Table1[H_A1],Sheet5!A36,Table1[C])</f>
        <v>0</v>
      </c>
      <c r="K36" s="195" t="e">
        <f>INDEX(Table1[Unit Price],Table5[[#This Row],[//NOTA]])</f>
        <v>#N/A</v>
      </c>
      <c r="L36" s="86" t="e">
        <f>IF(Table5[[#This Row],[a2]]="","",Table5[[#This Row],[QTY]]*12)</f>
        <v>#N/A</v>
      </c>
      <c r="M36" s="86" t="e">
        <f>IF(Table5[[#This Row],[UNIT]]="grs","LSN",IF(Table5[[#This Row],[UNIT]]="LSN","PCS",""))</f>
        <v>#N/A</v>
      </c>
      <c r="N36" s="86" t="e">
        <f>IF(Table5[[#This Row],[a2]]="LSN",Table5[[#This Row],[a1]]*12,"")</f>
        <v>#N/A</v>
      </c>
      <c r="O36" s="86" t="e">
        <f>IF(Table5[[#This Row],[b1]]="","","PCS")</f>
        <v>#N/A</v>
      </c>
      <c r="P36" s="86"/>
    </row>
    <row r="37" spans="2:16" x14ac:dyDescent="0.25">
      <c r="B37" s="88"/>
      <c r="C37" s="88"/>
      <c r="E37" s="194" t="e">
        <f>MATCH(A37,Table1[H_A1],0)</f>
        <v>#N/A</v>
      </c>
      <c r="F37" s="194" t="e">
        <f>MATCH(Table5[[#This Row],[NAMA]],[1]!db[NB PAJAK],0)</f>
        <v>#N/A</v>
      </c>
      <c r="G37" t="e">
        <f>INDEX(Table1[Item Description],Table5[[#This Row],[//NOTA]])</f>
        <v>#N/A</v>
      </c>
      <c r="H37">
        <f>SUMIF(Table1[H_A1],Sheet5!A37,Table1[Qty])</f>
        <v>0</v>
      </c>
      <c r="I37" t="e">
        <f>INDEX(Table1[Unit],Table5[[#This Row],[//NOTA]])</f>
        <v>#N/A</v>
      </c>
      <c r="J37" s="195">
        <f>SUMIF(Table1[H_A1],Sheet5!A37,Table1[C])</f>
        <v>0</v>
      </c>
      <c r="K37" s="195" t="e">
        <f>INDEX(Table1[Unit Price],Table5[[#This Row],[//NOTA]])</f>
        <v>#N/A</v>
      </c>
      <c r="L37" s="86" t="e">
        <f>IF(Table5[[#This Row],[a2]]="","",Table5[[#This Row],[QTY]]*12)</f>
        <v>#N/A</v>
      </c>
      <c r="M37" s="86" t="e">
        <f>IF(Table5[[#This Row],[UNIT]]="grs","LSN",IF(Table5[[#This Row],[UNIT]]="LSN","PCS",""))</f>
        <v>#N/A</v>
      </c>
      <c r="N37" s="86" t="e">
        <f>IF(Table5[[#This Row],[a2]]="LSN",Table5[[#This Row],[a1]]*12,"")</f>
        <v>#N/A</v>
      </c>
      <c r="O37" s="86" t="e">
        <f>IF(Table5[[#This Row],[b1]]="","","PCS")</f>
        <v>#N/A</v>
      </c>
      <c r="P37" s="86"/>
    </row>
    <row r="38" spans="2:16" x14ac:dyDescent="0.25">
      <c r="B38" s="88"/>
      <c r="C38" s="88"/>
      <c r="E38" s="194" t="e">
        <f>MATCH(A38,Table1[H_A1],0)</f>
        <v>#N/A</v>
      </c>
      <c r="F38" s="194" t="e">
        <f>MATCH(Table5[[#This Row],[NAMA]],[1]!db[NB PAJAK],0)</f>
        <v>#N/A</v>
      </c>
      <c r="G38" t="e">
        <f>INDEX(Table1[Item Description],Table5[[#This Row],[//NOTA]])</f>
        <v>#N/A</v>
      </c>
      <c r="H38">
        <f>SUMIF(Table1[H_A1],Sheet5!A38,Table1[Qty])</f>
        <v>0</v>
      </c>
      <c r="I38" t="e">
        <f>INDEX(Table1[Unit],Table5[[#This Row],[//NOTA]])</f>
        <v>#N/A</v>
      </c>
      <c r="J38" s="195">
        <f>SUMIF(Table1[H_A1],Sheet5!A38,Table1[C])</f>
        <v>0</v>
      </c>
      <c r="K38" s="195" t="e">
        <f>INDEX(Table1[Unit Price],Table5[[#This Row],[//NOTA]])</f>
        <v>#N/A</v>
      </c>
      <c r="L38" s="86" t="e">
        <f>IF(Table5[[#This Row],[a2]]="","",Table5[[#This Row],[QTY]]*12)</f>
        <v>#N/A</v>
      </c>
      <c r="M38" s="86" t="e">
        <f>IF(Table5[[#This Row],[UNIT]]="grs","LSN",IF(Table5[[#This Row],[UNIT]]="LSN","PCS",""))</f>
        <v>#N/A</v>
      </c>
      <c r="N38" s="86" t="e">
        <f>IF(Table5[[#This Row],[a2]]="LSN",Table5[[#This Row],[a1]]*12,"")</f>
        <v>#N/A</v>
      </c>
      <c r="O38" s="86" t="e">
        <f>IF(Table5[[#This Row],[b1]]="","","PCS")</f>
        <v>#N/A</v>
      </c>
      <c r="P38" s="86"/>
    </row>
    <row r="39" spans="2:16" x14ac:dyDescent="0.25">
      <c r="B39" s="88"/>
      <c r="C39" s="88"/>
      <c r="E39" s="194" t="e">
        <f>MATCH(A39,Table1[H_A1],0)</f>
        <v>#N/A</v>
      </c>
      <c r="F39" s="194" t="e">
        <f>MATCH(Table5[[#This Row],[NAMA]],[1]!db[NB PAJAK],0)</f>
        <v>#N/A</v>
      </c>
      <c r="G39" t="e">
        <f>INDEX(Table1[Item Description],Table5[[#This Row],[//NOTA]])</f>
        <v>#N/A</v>
      </c>
      <c r="H39">
        <f>SUMIF(Table1[H_A1],Sheet5!A39,Table1[Qty])</f>
        <v>0</v>
      </c>
      <c r="I39" t="e">
        <f>INDEX(Table1[Unit],Table5[[#This Row],[//NOTA]])</f>
        <v>#N/A</v>
      </c>
      <c r="J39" s="195">
        <f>SUMIF(Table1[H_A1],Sheet5!A39,Table1[C])</f>
        <v>0</v>
      </c>
      <c r="K39" s="195" t="e">
        <f>INDEX(Table1[Unit Price],Table5[[#This Row],[//NOTA]])</f>
        <v>#N/A</v>
      </c>
      <c r="L39" s="86" t="e">
        <f>IF(Table5[[#This Row],[a2]]="","",Table5[[#This Row],[QTY]]*12)</f>
        <v>#N/A</v>
      </c>
      <c r="M39" s="86" t="e">
        <f>IF(Table5[[#This Row],[UNIT]]="grs","LSN",IF(Table5[[#This Row],[UNIT]]="LSN","PCS",""))</f>
        <v>#N/A</v>
      </c>
      <c r="N39" s="86" t="e">
        <f>IF(Table5[[#This Row],[a2]]="LSN",Table5[[#This Row],[a1]]*12,"")</f>
        <v>#N/A</v>
      </c>
      <c r="O39" s="86" t="e">
        <f>IF(Table5[[#This Row],[b1]]="","","PCS")</f>
        <v>#N/A</v>
      </c>
      <c r="P39" s="86"/>
    </row>
    <row r="40" spans="2:16" x14ac:dyDescent="0.25">
      <c r="B40" s="88"/>
      <c r="C40" s="88"/>
      <c r="E40" s="194" t="e">
        <f>MATCH(A40,Table1[H_A1],0)</f>
        <v>#N/A</v>
      </c>
      <c r="F40" s="194" t="e">
        <f>MATCH(Table5[[#This Row],[NAMA]],[1]!db[NB PAJAK],0)</f>
        <v>#N/A</v>
      </c>
      <c r="G40" t="e">
        <f>INDEX(Table1[Item Description],Table5[[#This Row],[//NOTA]])</f>
        <v>#N/A</v>
      </c>
      <c r="H40">
        <f>SUMIF(Table1[H_A1],Sheet5!A40,Table1[Qty])</f>
        <v>0</v>
      </c>
      <c r="I40" t="e">
        <f>INDEX(Table1[Unit],Table5[[#This Row],[//NOTA]])</f>
        <v>#N/A</v>
      </c>
      <c r="J40" s="195">
        <f>SUMIF(Table1[H_A1],Sheet5!A40,Table1[C])</f>
        <v>0</v>
      </c>
      <c r="K40" s="195" t="e">
        <f>INDEX(Table1[Unit Price],Table5[[#This Row],[//NOTA]])</f>
        <v>#N/A</v>
      </c>
      <c r="L40" s="86" t="e">
        <f>IF(Table5[[#This Row],[a2]]="","",Table5[[#This Row],[QTY]]*12)</f>
        <v>#N/A</v>
      </c>
      <c r="M40" s="86" t="e">
        <f>IF(Table5[[#This Row],[UNIT]]="grs","LSN",IF(Table5[[#This Row],[UNIT]]="LSN","PCS",""))</f>
        <v>#N/A</v>
      </c>
      <c r="N40" s="86" t="e">
        <f>IF(Table5[[#This Row],[a2]]="LSN",Table5[[#This Row],[a1]]*12,"")</f>
        <v>#N/A</v>
      </c>
      <c r="O40" s="86" t="e">
        <f>IF(Table5[[#This Row],[b1]]="","","PCS")</f>
        <v>#N/A</v>
      </c>
      <c r="P40" s="86"/>
    </row>
    <row r="41" spans="2:16" x14ac:dyDescent="0.25">
      <c r="B41" s="88"/>
      <c r="C41" s="88"/>
      <c r="E41" s="194" t="e">
        <f>MATCH(A41,Table1[H_A1],0)</f>
        <v>#N/A</v>
      </c>
      <c r="F41" s="194" t="e">
        <f>MATCH(Table5[[#This Row],[NAMA]],[1]!db[NB PAJAK],0)</f>
        <v>#N/A</v>
      </c>
      <c r="G41" t="e">
        <f>INDEX(Table1[Item Description],Table5[[#This Row],[//NOTA]])</f>
        <v>#N/A</v>
      </c>
      <c r="H41">
        <f>SUMIF(Table1[H_A1],Sheet5!A41,Table1[Qty])</f>
        <v>0</v>
      </c>
      <c r="I41" t="e">
        <f>INDEX(Table1[Unit],Table5[[#This Row],[//NOTA]])</f>
        <v>#N/A</v>
      </c>
      <c r="J41" s="195">
        <f>SUMIF(Table1[H_A1],Sheet5!A41,Table1[C])</f>
        <v>0</v>
      </c>
      <c r="K41" s="195" t="e">
        <f>INDEX(Table1[Unit Price],Table5[[#This Row],[//NOTA]])</f>
        <v>#N/A</v>
      </c>
      <c r="L41" s="86" t="e">
        <f>IF(Table5[[#This Row],[a2]]="","",Table5[[#This Row],[QTY]]*12)</f>
        <v>#N/A</v>
      </c>
      <c r="M41" s="86" t="e">
        <f>IF(Table5[[#This Row],[UNIT]]="grs","LSN",IF(Table5[[#This Row],[UNIT]]="LSN","PCS",""))</f>
        <v>#N/A</v>
      </c>
      <c r="N41" s="86" t="e">
        <f>IF(Table5[[#This Row],[a2]]="LSN",Table5[[#This Row],[a1]]*12,"")</f>
        <v>#N/A</v>
      </c>
      <c r="O41" s="86" t="e">
        <f>IF(Table5[[#This Row],[b1]]="","","PCS")</f>
        <v>#N/A</v>
      </c>
      <c r="P41" s="86"/>
    </row>
    <row r="42" spans="2:16" x14ac:dyDescent="0.25">
      <c r="B42" s="88"/>
      <c r="C42" s="88"/>
      <c r="E42" s="194" t="e">
        <f>MATCH(A42,Table1[H_A1],0)</f>
        <v>#N/A</v>
      </c>
      <c r="F42" s="194" t="e">
        <f>MATCH(Table5[[#This Row],[NAMA]],[1]!db[NB PAJAK],0)</f>
        <v>#N/A</v>
      </c>
      <c r="G42" t="e">
        <f>INDEX(Table1[Item Description],Table5[[#This Row],[//NOTA]])</f>
        <v>#N/A</v>
      </c>
      <c r="H42">
        <f>SUMIF(Table1[H_A1],Sheet5!A42,Table1[Qty])</f>
        <v>0</v>
      </c>
      <c r="I42" t="e">
        <f>INDEX(Table1[Unit],Table5[[#This Row],[//NOTA]])</f>
        <v>#N/A</v>
      </c>
      <c r="J42" s="195">
        <f>SUMIF(Table1[H_A1],Sheet5!A42,Table1[C])</f>
        <v>0</v>
      </c>
      <c r="K42" s="195" t="e">
        <f>INDEX(Table1[Unit Price],Table5[[#This Row],[//NOTA]])</f>
        <v>#N/A</v>
      </c>
      <c r="L42" s="86" t="e">
        <f>IF(Table5[[#This Row],[a2]]="","",Table5[[#This Row],[QTY]]*12)</f>
        <v>#N/A</v>
      </c>
      <c r="M42" s="86" t="e">
        <f>IF(Table5[[#This Row],[UNIT]]="grs","LSN",IF(Table5[[#This Row],[UNIT]]="LSN","PCS",""))</f>
        <v>#N/A</v>
      </c>
      <c r="N42" s="86" t="e">
        <f>IF(Table5[[#This Row],[a2]]="LSN",Table5[[#This Row],[a1]]*12,"")</f>
        <v>#N/A</v>
      </c>
      <c r="O42" s="86" t="e">
        <f>IF(Table5[[#This Row],[b1]]="","","PCS")</f>
        <v>#N/A</v>
      </c>
      <c r="P42" s="86"/>
    </row>
    <row r="43" spans="2:16" x14ac:dyDescent="0.25">
      <c r="B43" s="88"/>
      <c r="C43" s="88"/>
      <c r="E43" s="194" t="e">
        <f>MATCH(A43,Table1[H_A1],0)</f>
        <v>#N/A</v>
      </c>
      <c r="F43" s="194" t="e">
        <f>MATCH(Table5[[#This Row],[NAMA]],[1]!db[NB PAJAK],0)</f>
        <v>#N/A</v>
      </c>
      <c r="G43" t="e">
        <f>INDEX(Table1[Item Description],Table5[[#This Row],[//NOTA]])</f>
        <v>#N/A</v>
      </c>
      <c r="H43">
        <f>SUMIF(Table1[H_A1],Sheet5!A43,Table1[Qty])</f>
        <v>0</v>
      </c>
      <c r="I43" t="e">
        <f>INDEX(Table1[Unit],Table5[[#This Row],[//NOTA]])</f>
        <v>#N/A</v>
      </c>
      <c r="J43" s="195">
        <f>SUMIF(Table1[H_A1],Sheet5!A43,Table1[C])</f>
        <v>0</v>
      </c>
      <c r="K43" s="195" t="e">
        <f>INDEX(Table1[Unit Price],Table5[[#This Row],[//NOTA]])</f>
        <v>#N/A</v>
      </c>
      <c r="L43" s="86" t="e">
        <f>IF(Table5[[#This Row],[a2]]="","",Table5[[#This Row],[QTY]]*12)</f>
        <v>#N/A</v>
      </c>
      <c r="M43" s="86" t="e">
        <f>IF(Table5[[#This Row],[UNIT]]="grs","LSN",IF(Table5[[#This Row],[UNIT]]="LSN","PCS",""))</f>
        <v>#N/A</v>
      </c>
      <c r="N43" s="86" t="e">
        <f>IF(Table5[[#This Row],[a2]]="LSN",Table5[[#This Row],[a1]]*12,"")</f>
        <v>#N/A</v>
      </c>
      <c r="O43" s="86" t="e">
        <f>IF(Table5[[#This Row],[b1]]="","","PCS")</f>
        <v>#N/A</v>
      </c>
      <c r="P43" s="86"/>
    </row>
    <row r="44" spans="2:16" x14ac:dyDescent="0.25">
      <c r="B44" s="88"/>
      <c r="C44" s="88"/>
      <c r="E44" s="194" t="e">
        <f>MATCH(A44,Table1[H_A1],0)</f>
        <v>#N/A</v>
      </c>
      <c r="F44" s="194" t="e">
        <f>MATCH(Table5[[#This Row],[NAMA]],[1]!db[NB PAJAK],0)</f>
        <v>#N/A</v>
      </c>
      <c r="G44" t="e">
        <f>INDEX(Table1[Item Description],Table5[[#This Row],[//NOTA]])</f>
        <v>#N/A</v>
      </c>
      <c r="H44">
        <f>SUMIF(Table1[H_A1],Sheet5!A44,Table1[Qty])</f>
        <v>0</v>
      </c>
      <c r="I44" t="e">
        <f>INDEX(Table1[Unit],Table5[[#This Row],[//NOTA]])</f>
        <v>#N/A</v>
      </c>
      <c r="J44" s="195">
        <f>SUMIF(Table1[H_A1],Sheet5!A44,Table1[C])</f>
        <v>0</v>
      </c>
      <c r="K44" s="195" t="e">
        <f>INDEX(Table1[Unit Price],Table5[[#This Row],[//NOTA]])</f>
        <v>#N/A</v>
      </c>
      <c r="L44" s="86" t="e">
        <f>IF(Table5[[#This Row],[a2]]="","",Table5[[#This Row],[QTY]]*12)</f>
        <v>#N/A</v>
      </c>
      <c r="M44" s="86" t="e">
        <f>IF(Table5[[#This Row],[UNIT]]="grs","LSN",IF(Table5[[#This Row],[UNIT]]="LSN","PCS",""))</f>
        <v>#N/A</v>
      </c>
      <c r="N44" s="86" t="e">
        <f>IF(Table5[[#This Row],[a2]]="LSN",Table5[[#This Row],[a1]]*12,"")</f>
        <v>#N/A</v>
      </c>
      <c r="O44" s="86" t="e">
        <f>IF(Table5[[#This Row],[b1]]="","","PCS")</f>
        <v>#N/A</v>
      </c>
      <c r="P44" s="86"/>
    </row>
    <row r="45" spans="2:16" x14ac:dyDescent="0.25">
      <c r="B45" s="88"/>
      <c r="C45" s="88"/>
      <c r="E45" s="194" t="e">
        <f>MATCH(A45,Table1[H_A1],0)</f>
        <v>#N/A</v>
      </c>
      <c r="F45" s="194" t="e">
        <f>MATCH(Table5[[#This Row],[NAMA]],[1]!db[NB PAJAK],0)</f>
        <v>#N/A</v>
      </c>
      <c r="G45" t="e">
        <f>INDEX(Table1[Item Description],Table5[[#This Row],[//NOTA]])</f>
        <v>#N/A</v>
      </c>
      <c r="H45">
        <f>SUMIF(Table1[H_A1],Sheet5!A45,Table1[Qty])</f>
        <v>0</v>
      </c>
      <c r="I45" t="e">
        <f>INDEX(Table1[Unit],Table5[[#This Row],[//NOTA]])</f>
        <v>#N/A</v>
      </c>
      <c r="J45" s="195">
        <f>SUMIF(Table1[H_A1],Sheet5!A45,Table1[C])</f>
        <v>0</v>
      </c>
      <c r="K45" s="195" t="e">
        <f>INDEX(Table1[Unit Price],Table5[[#This Row],[//NOTA]])</f>
        <v>#N/A</v>
      </c>
      <c r="L45" s="86" t="e">
        <f>IF(Table5[[#This Row],[a2]]="","",Table5[[#This Row],[QTY]]*12)</f>
        <v>#N/A</v>
      </c>
      <c r="M45" s="86" t="e">
        <f>IF(Table5[[#This Row],[UNIT]]="grs","LSN",IF(Table5[[#This Row],[UNIT]]="LSN","PCS",""))</f>
        <v>#N/A</v>
      </c>
      <c r="N45" s="86" t="e">
        <f>IF(Table5[[#This Row],[a2]]="LSN",Table5[[#This Row],[a1]]*12,"")</f>
        <v>#N/A</v>
      </c>
      <c r="O45" s="86" t="e">
        <f>IF(Table5[[#This Row],[b1]]="","","PCS")</f>
        <v>#N/A</v>
      </c>
      <c r="P45" s="86"/>
    </row>
    <row r="46" spans="2:16" x14ac:dyDescent="0.25">
      <c r="B46" s="88"/>
      <c r="C46" s="88"/>
      <c r="E46" s="194" t="e">
        <f>MATCH(A46,Table1[H_A1],0)</f>
        <v>#N/A</v>
      </c>
      <c r="F46" s="194" t="e">
        <f>MATCH(Table5[[#This Row],[NAMA]],[1]!db[NB PAJAK],0)</f>
        <v>#N/A</v>
      </c>
      <c r="G46" t="e">
        <f>INDEX(Table1[Item Description],Table5[[#This Row],[//NOTA]])</f>
        <v>#N/A</v>
      </c>
      <c r="H46">
        <f>SUMIF(Table1[H_A1],Sheet5!A46,Table1[Qty])</f>
        <v>0</v>
      </c>
      <c r="I46" t="e">
        <f>INDEX(Table1[Unit],Table5[[#This Row],[//NOTA]])</f>
        <v>#N/A</v>
      </c>
      <c r="J46" s="195">
        <f>SUMIF(Table1[H_A1],Sheet5!A46,Table1[C])</f>
        <v>0</v>
      </c>
      <c r="K46" s="195" t="e">
        <f>INDEX(Table1[Unit Price],Table5[[#This Row],[//NOTA]])</f>
        <v>#N/A</v>
      </c>
      <c r="L46" s="86" t="e">
        <f>IF(Table5[[#This Row],[a2]]="","",Table5[[#This Row],[QTY]]*12)</f>
        <v>#N/A</v>
      </c>
      <c r="M46" s="86" t="e">
        <f>IF(Table5[[#This Row],[UNIT]]="grs","LSN",IF(Table5[[#This Row],[UNIT]]="LSN","PCS",""))</f>
        <v>#N/A</v>
      </c>
      <c r="N46" s="86" t="e">
        <f>IF(Table5[[#This Row],[a2]]="LSN",Table5[[#This Row],[a1]]*12,"")</f>
        <v>#N/A</v>
      </c>
      <c r="O46" s="86" t="e">
        <f>IF(Table5[[#This Row],[b1]]="","","PCS")</f>
        <v>#N/A</v>
      </c>
      <c r="P46" s="86"/>
    </row>
    <row r="47" spans="2:16" x14ac:dyDescent="0.25">
      <c r="B47" s="88"/>
      <c r="C47" s="88"/>
      <c r="E47" s="194" t="e">
        <f>MATCH(A47,Table1[H_A1],0)</f>
        <v>#N/A</v>
      </c>
      <c r="F47" s="194" t="e">
        <f>MATCH(Table5[[#This Row],[NAMA]],[1]!db[NB PAJAK],0)</f>
        <v>#N/A</v>
      </c>
      <c r="G47" t="e">
        <f>INDEX(Table1[Item Description],Table5[[#This Row],[//NOTA]])</f>
        <v>#N/A</v>
      </c>
      <c r="H47">
        <f>SUMIF(Table1[H_A1],Sheet5!A47,Table1[Qty])</f>
        <v>0</v>
      </c>
      <c r="I47" t="e">
        <f>INDEX(Table1[Unit],Table5[[#This Row],[//NOTA]])</f>
        <v>#N/A</v>
      </c>
      <c r="J47" s="195">
        <f>SUMIF(Table1[H_A1],Sheet5!A47,Table1[C])</f>
        <v>0</v>
      </c>
      <c r="K47" s="195" t="e">
        <f>INDEX(Table1[Unit Price],Table5[[#This Row],[//NOTA]])</f>
        <v>#N/A</v>
      </c>
      <c r="L47" s="86" t="e">
        <f>IF(Table5[[#This Row],[a2]]="","",Table5[[#This Row],[QTY]]*12)</f>
        <v>#N/A</v>
      </c>
      <c r="M47" s="86" t="e">
        <f>IF(Table5[[#This Row],[UNIT]]="grs","LSN",IF(Table5[[#This Row],[UNIT]]="LSN","PCS",""))</f>
        <v>#N/A</v>
      </c>
      <c r="N47" s="86" t="e">
        <f>IF(Table5[[#This Row],[a2]]="LSN",Table5[[#This Row],[a1]]*12,"")</f>
        <v>#N/A</v>
      </c>
      <c r="O47" s="86" t="e">
        <f>IF(Table5[[#This Row],[b1]]="","","PCS")</f>
        <v>#N/A</v>
      </c>
      <c r="P47" s="86"/>
    </row>
    <row r="48" spans="2:16" x14ac:dyDescent="0.25">
      <c r="B48" s="88"/>
      <c r="C48" s="88"/>
      <c r="E48" s="194" t="e">
        <f>MATCH(A48,Table1[H_A1],0)</f>
        <v>#N/A</v>
      </c>
      <c r="F48" s="194" t="e">
        <f>MATCH(Table5[[#This Row],[NAMA]],[1]!db[NB PAJAK],0)</f>
        <v>#N/A</v>
      </c>
      <c r="G48" t="e">
        <f>INDEX(Table1[Item Description],Table5[[#This Row],[//NOTA]])</f>
        <v>#N/A</v>
      </c>
      <c r="H48">
        <f>SUMIF(Table1[H_A1],Sheet5!A48,Table1[Qty])</f>
        <v>0</v>
      </c>
      <c r="I48" t="e">
        <f>INDEX(Table1[Unit],Table5[[#This Row],[//NOTA]])</f>
        <v>#N/A</v>
      </c>
      <c r="J48" s="195">
        <f>SUMIF(Table1[H_A1],Sheet5!A48,Table1[C])</f>
        <v>0</v>
      </c>
      <c r="K48" s="195" t="e">
        <f>INDEX(Table1[Unit Price],Table5[[#This Row],[//NOTA]])</f>
        <v>#N/A</v>
      </c>
      <c r="L48" s="86" t="e">
        <f>IF(Table5[[#This Row],[a2]]="","",Table5[[#This Row],[QTY]]*12)</f>
        <v>#N/A</v>
      </c>
      <c r="M48" s="86" t="e">
        <f>IF(Table5[[#This Row],[UNIT]]="grs","LSN",IF(Table5[[#This Row],[UNIT]]="LSN","PCS",""))</f>
        <v>#N/A</v>
      </c>
      <c r="N48" s="86" t="e">
        <f>IF(Table5[[#This Row],[a2]]="LSN",Table5[[#This Row],[a1]]*12,"")</f>
        <v>#N/A</v>
      </c>
      <c r="O48" s="86" t="e">
        <f>IF(Table5[[#This Row],[b1]]="","","PCS")</f>
        <v>#N/A</v>
      </c>
      <c r="P48" s="86"/>
    </row>
    <row r="49" spans="2:16" x14ac:dyDescent="0.25">
      <c r="B49" s="88"/>
      <c r="C49" s="88"/>
      <c r="E49" s="194" t="e">
        <f>MATCH(A49,Table1[H_A1],0)</f>
        <v>#N/A</v>
      </c>
      <c r="F49" s="194" t="e">
        <f>MATCH(Table5[[#This Row],[NAMA]],[1]!db[NB PAJAK],0)</f>
        <v>#N/A</v>
      </c>
      <c r="G49" t="e">
        <f>INDEX(Table1[Item Description],Table5[[#This Row],[//NOTA]])</f>
        <v>#N/A</v>
      </c>
      <c r="H49">
        <f>SUMIF(Table1[H_A1],Sheet5!A49,Table1[Qty])</f>
        <v>0</v>
      </c>
      <c r="I49" t="e">
        <f>INDEX(Table1[Unit],Table5[[#This Row],[//NOTA]])</f>
        <v>#N/A</v>
      </c>
      <c r="J49" s="195">
        <f>SUMIF(Table1[H_A1],Sheet5!A49,Table1[C])</f>
        <v>0</v>
      </c>
      <c r="K49" s="195" t="e">
        <f>INDEX(Table1[Unit Price],Table5[[#This Row],[//NOTA]])</f>
        <v>#N/A</v>
      </c>
      <c r="L49" s="86" t="e">
        <f>IF(Table5[[#This Row],[a2]]="","",Table5[[#This Row],[QTY]]*12)</f>
        <v>#N/A</v>
      </c>
      <c r="M49" s="86" t="e">
        <f>IF(Table5[[#This Row],[UNIT]]="grs","LSN",IF(Table5[[#This Row],[UNIT]]="LSN","PCS",""))</f>
        <v>#N/A</v>
      </c>
      <c r="N49" s="86" t="e">
        <f>IF(Table5[[#This Row],[a2]]="LSN",Table5[[#This Row],[a1]]*12,"")</f>
        <v>#N/A</v>
      </c>
      <c r="O49" s="86" t="e">
        <f>IF(Table5[[#This Row],[b1]]="","","PCS")</f>
        <v>#N/A</v>
      </c>
      <c r="P49" s="86"/>
    </row>
    <row r="50" spans="2:16" x14ac:dyDescent="0.25">
      <c r="B50" s="88"/>
      <c r="C50" s="88"/>
      <c r="E50" s="194" t="e">
        <f>MATCH(A50,Table1[H_A1],0)</f>
        <v>#N/A</v>
      </c>
      <c r="F50" s="194" t="e">
        <f>MATCH(Table5[[#This Row],[NAMA]],[1]!db[NB PAJAK],0)</f>
        <v>#N/A</v>
      </c>
      <c r="G50" t="e">
        <f>INDEX(Table1[Item Description],Table5[[#This Row],[//NOTA]])</f>
        <v>#N/A</v>
      </c>
      <c r="H50">
        <f>SUMIF(Table1[H_A1],Sheet5!A50,Table1[Qty])</f>
        <v>0</v>
      </c>
      <c r="I50" t="e">
        <f>INDEX(Table1[Unit],Table5[[#This Row],[//NOTA]])</f>
        <v>#N/A</v>
      </c>
      <c r="J50" s="195">
        <f>SUMIF(Table1[H_A1],Sheet5!A50,Table1[C])</f>
        <v>0</v>
      </c>
      <c r="K50" s="195" t="e">
        <f>INDEX(Table1[Unit Price],Table5[[#This Row],[//NOTA]])</f>
        <v>#N/A</v>
      </c>
      <c r="L50" s="86" t="e">
        <f>IF(Table5[[#This Row],[a2]]="","",Table5[[#This Row],[QTY]]*12)</f>
        <v>#N/A</v>
      </c>
      <c r="M50" s="86" t="e">
        <f>IF(Table5[[#This Row],[UNIT]]="grs","LSN",IF(Table5[[#This Row],[UNIT]]="LSN","PCS",""))</f>
        <v>#N/A</v>
      </c>
      <c r="N50" s="86" t="e">
        <f>IF(Table5[[#This Row],[a2]]="LSN",Table5[[#This Row],[a1]]*12,"")</f>
        <v>#N/A</v>
      </c>
      <c r="O50" s="86" t="e">
        <f>IF(Table5[[#This Row],[b1]]="","","PCS")</f>
        <v>#N/A</v>
      </c>
      <c r="P50" s="86"/>
    </row>
    <row r="51" spans="2:16" x14ac:dyDescent="0.25">
      <c r="B51" s="88"/>
      <c r="C51" s="88"/>
      <c r="E51" s="194" t="e">
        <f>MATCH(A51,Table1[H_A1],0)</f>
        <v>#N/A</v>
      </c>
      <c r="F51" s="194" t="e">
        <f>MATCH(Table5[[#This Row],[NAMA]],[1]!db[NB PAJAK],0)</f>
        <v>#N/A</v>
      </c>
      <c r="G51" t="e">
        <f>INDEX(Table1[Item Description],Table5[[#This Row],[//NOTA]])</f>
        <v>#N/A</v>
      </c>
      <c r="H51">
        <f>SUMIF(Table1[H_A1],Sheet5!A51,Table1[Qty])</f>
        <v>0</v>
      </c>
      <c r="I51" t="e">
        <f>INDEX(Table1[Unit],Table5[[#This Row],[//NOTA]])</f>
        <v>#N/A</v>
      </c>
      <c r="J51" s="195">
        <f>SUMIF(Table1[H_A1],Sheet5!A51,Table1[C])</f>
        <v>0</v>
      </c>
      <c r="K51" s="195" t="e">
        <f>INDEX(Table1[Unit Price],Table5[[#This Row],[//NOTA]])</f>
        <v>#N/A</v>
      </c>
      <c r="L51" s="86" t="e">
        <f>IF(Table5[[#This Row],[a2]]="","",Table5[[#This Row],[QTY]]*12)</f>
        <v>#N/A</v>
      </c>
      <c r="M51" s="86" t="e">
        <f>IF(Table5[[#This Row],[UNIT]]="grs","LSN",IF(Table5[[#This Row],[UNIT]]="LSN","PCS",""))</f>
        <v>#N/A</v>
      </c>
      <c r="N51" s="86" t="e">
        <f>IF(Table5[[#This Row],[a2]]="LSN",Table5[[#This Row],[a1]]*12,"")</f>
        <v>#N/A</v>
      </c>
      <c r="O51" s="86" t="e">
        <f>IF(Table5[[#This Row],[b1]]="","","PCS")</f>
        <v>#N/A</v>
      </c>
      <c r="P51" s="86"/>
    </row>
    <row r="52" spans="2:16" x14ac:dyDescent="0.25">
      <c r="B52" s="88"/>
      <c r="C52" s="88"/>
      <c r="E52" s="194" t="e">
        <f>MATCH(A52,Table1[H_A1],0)</f>
        <v>#N/A</v>
      </c>
      <c r="F52" s="194" t="e">
        <f>MATCH(Table5[[#This Row],[NAMA]],[1]!db[NB PAJAK],0)</f>
        <v>#N/A</v>
      </c>
      <c r="G52" t="e">
        <f>INDEX(Table1[Item Description],Table5[[#This Row],[//NOTA]])</f>
        <v>#N/A</v>
      </c>
      <c r="H52">
        <f>SUMIF(Table1[H_A1],Sheet5!A52,Table1[Qty])</f>
        <v>0</v>
      </c>
      <c r="I52" t="e">
        <f>INDEX(Table1[Unit],Table5[[#This Row],[//NOTA]])</f>
        <v>#N/A</v>
      </c>
      <c r="J52" s="195">
        <f>SUMIF(Table1[H_A1],Sheet5!A52,Table1[C])</f>
        <v>0</v>
      </c>
      <c r="K52" s="195" t="e">
        <f>INDEX(Table1[Unit Price],Table5[[#This Row],[//NOTA]])</f>
        <v>#N/A</v>
      </c>
      <c r="L52" s="86" t="e">
        <f>IF(Table5[[#This Row],[a2]]="","",Table5[[#This Row],[QTY]]*12)</f>
        <v>#N/A</v>
      </c>
      <c r="M52" s="86" t="e">
        <f>IF(Table5[[#This Row],[UNIT]]="grs","LSN",IF(Table5[[#This Row],[UNIT]]="LSN","PCS",""))</f>
        <v>#N/A</v>
      </c>
      <c r="N52" s="86" t="e">
        <f>IF(Table5[[#This Row],[a2]]="LSN",Table5[[#This Row],[a1]]*12,"")</f>
        <v>#N/A</v>
      </c>
      <c r="O52" s="86" t="e">
        <f>IF(Table5[[#This Row],[b1]]="","","PCS")</f>
        <v>#N/A</v>
      </c>
      <c r="P52" s="86"/>
    </row>
    <row r="53" spans="2:16" x14ac:dyDescent="0.25">
      <c r="B53" s="88"/>
      <c r="C53" s="88"/>
      <c r="E53" s="194" t="e">
        <f>MATCH(A53,Table1[H_A1],0)</f>
        <v>#N/A</v>
      </c>
      <c r="F53" s="194" t="e">
        <f>MATCH(Table5[[#This Row],[NAMA]],[1]!db[NB PAJAK],0)</f>
        <v>#N/A</v>
      </c>
      <c r="G53" t="e">
        <f>INDEX(Table1[Item Description],Table5[[#This Row],[//NOTA]])</f>
        <v>#N/A</v>
      </c>
      <c r="H53">
        <f>SUMIF(Table1[H_A1],Sheet5!A53,Table1[Qty])</f>
        <v>0</v>
      </c>
      <c r="I53" t="e">
        <f>INDEX(Table1[Unit],Table5[[#This Row],[//NOTA]])</f>
        <v>#N/A</v>
      </c>
      <c r="J53" s="195">
        <f>SUMIF(Table1[H_A1],Sheet5!A53,Table1[C])</f>
        <v>0</v>
      </c>
      <c r="K53" s="195" t="e">
        <f>INDEX(Table1[Unit Price],Table5[[#This Row],[//NOTA]])</f>
        <v>#N/A</v>
      </c>
      <c r="L53" s="86" t="e">
        <f>IF(Table5[[#This Row],[a2]]="","",Table5[[#This Row],[QTY]]*12)</f>
        <v>#N/A</v>
      </c>
      <c r="M53" s="86" t="e">
        <f>IF(Table5[[#This Row],[UNIT]]="grs","LSN",IF(Table5[[#This Row],[UNIT]]="LSN","PCS",""))</f>
        <v>#N/A</v>
      </c>
      <c r="N53" s="86" t="e">
        <f>IF(Table5[[#This Row],[a2]]="LSN",Table5[[#This Row],[a1]]*12,"")</f>
        <v>#N/A</v>
      </c>
      <c r="O53" s="86" t="e">
        <f>IF(Table5[[#This Row],[b1]]="","","PCS")</f>
        <v>#N/A</v>
      </c>
      <c r="P53" s="86"/>
    </row>
    <row r="54" spans="2:16" x14ac:dyDescent="0.25">
      <c r="B54" s="88"/>
      <c r="C54" s="88"/>
      <c r="E54" s="194" t="e">
        <f>MATCH(A54,Table1[H_A1],0)</f>
        <v>#N/A</v>
      </c>
      <c r="F54" s="194" t="e">
        <f>MATCH(Table5[[#This Row],[NAMA]],[1]!db[NB PAJAK],0)</f>
        <v>#N/A</v>
      </c>
      <c r="G54" t="e">
        <f>INDEX(Table1[Item Description],Table5[[#This Row],[//NOTA]])</f>
        <v>#N/A</v>
      </c>
      <c r="H54">
        <f>SUMIF(Table1[H_A1],Sheet5!A54,Table1[Qty])</f>
        <v>0</v>
      </c>
      <c r="I54" t="e">
        <f>INDEX(Table1[Unit],Table5[[#This Row],[//NOTA]])</f>
        <v>#N/A</v>
      </c>
      <c r="J54" s="195">
        <f>SUMIF(Table1[H_A1],Sheet5!A54,Table1[C])</f>
        <v>0</v>
      </c>
      <c r="K54" s="195" t="e">
        <f>INDEX(Table1[Unit Price],Table5[[#This Row],[//NOTA]])</f>
        <v>#N/A</v>
      </c>
      <c r="L54" s="86" t="e">
        <f>IF(Table5[[#This Row],[a2]]="","",Table5[[#This Row],[QTY]]*12)</f>
        <v>#N/A</v>
      </c>
      <c r="M54" s="86" t="e">
        <f>IF(Table5[[#This Row],[UNIT]]="grs","LSN",IF(Table5[[#This Row],[UNIT]]="LSN","PCS",""))</f>
        <v>#N/A</v>
      </c>
      <c r="N54" s="86" t="e">
        <f>IF(Table5[[#This Row],[a2]]="LSN",Table5[[#This Row],[a1]]*12,"")</f>
        <v>#N/A</v>
      </c>
      <c r="O54" s="86" t="e">
        <f>IF(Table5[[#This Row],[b1]]="","","PCS")</f>
        <v>#N/A</v>
      </c>
      <c r="P54" s="86"/>
    </row>
    <row r="55" spans="2:16" x14ac:dyDescent="0.25">
      <c r="B55" s="88"/>
      <c r="C55" s="88"/>
      <c r="E55" s="194" t="e">
        <f>MATCH(A55,Table1[H_A1],0)</f>
        <v>#N/A</v>
      </c>
      <c r="F55" s="194" t="e">
        <f>MATCH(Table5[[#This Row],[NAMA]],[1]!db[NB PAJAK],0)</f>
        <v>#N/A</v>
      </c>
      <c r="G55" t="e">
        <f>INDEX(Table1[Item Description],Table5[[#This Row],[//NOTA]])</f>
        <v>#N/A</v>
      </c>
      <c r="H55">
        <f>SUMIF(Table1[H_A1],Sheet5!A55,Table1[Qty])</f>
        <v>0</v>
      </c>
      <c r="I55" t="e">
        <f>INDEX(Table1[Unit],Table5[[#This Row],[//NOTA]])</f>
        <v>#N/A</v>
      </c>
      <c r="J55" s="195">
        <f>SUMIF(Table1[H_A1],Sheet5!A55,Table1[C])</f>
        <v>0</v>
      </c>
      <c r="K55" s="195" t="e">
        <f>INDEX(Table1[Unit Price],Table5[[#This Row],[//NOTA]])</f>
        <v>#N/A</v>
      </c>
      <c r="L55" s="86" t="e">
        <f>IF(Table5[[#This Row],[a2]]="","",Table5[[#This Row],[QTY]]*12)</f>
        <v>#N/A</v>
      </c>
      <c r="M55" s="86" t="e">
        <f>IF(Table5[[#This Row],[UNIT]]="grs","LSN",IF(Table5[[#This Row],[UNIT]]="LSN","PCS",""))</f>
        <v>#N/A</v>
      </c>
      <c r="N55" s="86" t="e">
        <f>IF(Table5[[#This Row],[a2]]="LSN",Table5[[#This Row],[a1]]*12,"")</f>
        <v>#N/A</v>
      </c>
      <c r="O55" s="86" t="e">
        <f>IF(Table5[[#This Row],[b1]]="","","PCS")</f>
        <v>#N/A</v>
      </c>
      <c r="P55" s="86"/>
    </row>
    <row r="56" spans="2:16" x14ac:dyDescent="0.25">
      <c r="B56" s="88"/>
      <c r="C56" s="88"/>
      <c r="E56" s="194" t="e">
        <f>MATCH(A56,Table1[H_A1],0)</f>
        <v>#N/A</v>
      </c>
      <c r="F56" s="194" t="e">
        <f>MATCH(Table5[[#This Row],[NAMA]],[1]!db[NB PAJAK],0)</f>
        <v>#N/A</v>
      </c>
      <c r="G56" t="e">
        <f>INDEX(Table1[Item Description],Table5[[#This Row],[//NOTA]])</f>
        <v>#N/A</v>
      </c>
      <c r="H56">
        <f>SUMIF(Table1[H_A1],Sheet5!A56,Table1[Qty])</f>
        <v>0</v>
      </c>
      <c r="I56" t="e">
        <f>INDEX(Table1[Unit],Table5[[#This Row],[//NOTA]])</f>
        <v>#N/A</v>
      </c>
      <c r="J56" s="195">
        <f>SUMIF(Table1[H_A1],Sheet5!A56,Table1[C])</f>
        <v>0</v>
      </c>
      <c r="K56" s="195" t="e">
        <f>INDEX(Table1[Unit Price],Table5[[#This Row],[//NOTA]])</f>
        <v>#N/A</v>
      </c>
      <c r="L56" s="86" t="e">
        <f>IF(Table5[[#This Row],[a2]]="","",Table5[[#This Row],[QTY]]*12)</f>
        <v>#N/A</v>
      </c>
      <c r="M56" s="86" t="e">
        <f>IF(Table5[[#This Row],[UNIT]]="grs","LSN",IF(Table5[[#This Row],[UNIT]]="LSN","PCS",""))</f>
        <v>#N/A</v>
      </c>
      <c r="N56" s="86" t="e">
        <f>IF(Table5[[#This Row],[a2]]="LSN",Table5[[#This Row],[a1]]*12,"")</f>
        <v>#N/A</v>
      </c>
      <c r="O56" s="86" t="e">
        <f>IF(Table5[[#This Row],[b1]]="","","PCS")</f>
        <v>#N/A</v>
      </c>
      <c r="P56" s="86"/>
    </row>
    <row r="57" spans="2:16" x14ac:dyDescent="0.25">
      <c r="B57" s="88"/>
      <c r="C57" s="88"/>
      <c r="E57" s="194" t="e">
        <f>MATCH(A57,Table1[H_A1],0)</f>
        <v>#N/A</v>
      </c>
      <c r="F57" s="194" t="e">
        <f>MATCH(Table5[[#This Row],[NAMA]],[1]!db[NB PAJAK],0)</f>
        <v>#N/A</v>
      </c>
      <c r="G57" t="e">
        <f>INDEX(Table1[Item Description],Table5[[#This Row],[//NOTA]])</f>
        <v>#N/A</v>
      </c>
      <c r="H57">
        <f>SUMIF(Table1[H_A1],Sheet5!A57,Table1[Qty])</f>
        <v>0</v>
      </c>
      <c r="I57" t="e">
        <f>INDEX(Table1[Unit],Table5[[#This Row],[//NOTA]])</f>
        <v>#N/A</v>
      </c>
      <c r="J57" s="195">
        <f>SUMIF(Table1[H_A1],Sheet5!A57,Table1[C])</f>
        <v>0</v>
      </c>
      <c r="K57" s="195" t="e">
        <f>INDEX(Table1[Unit Price],Table5[[#This Row],[//NOTA]])</f>
        <v>#N/A</v>
      </c>
      <c r="L57" s="86" t="e">
        <f>IF(Table5[[#This Row],[a2]]="","",Table5[[#This Row],[QTY]]*12)</f>
        <v>#N/A</v>
      </c>
      <c r="M57" s="86" t="e">
        <f>IF(Table5[[#This Row],[UNIT]]="grs","LSN",IF(Table5[[#This Row],[UNIT]]="LSN","PCS",""))</f>
        <v>#N/A</v>
      </c>
      <c r="N57" s="86" t="e">
        <f>IF(Table5[[#This Row],[a2]]="LSN",Table5[[#This Row],[a1]]*12,"")</f>
        <v>#N/A</v>
      </c>
      <c r="O57" s="86" t="e">
        <f>IF(Table5[[#This Row],[b1]]="","","PCS")</f>
        <v>#N/A</v>
      </c>
      <c r="P57" s="86"/>
    </row>
    <row r="58" spans="2:16" x14ac:dyDescent="0.25">
      <c r="B58" s="88"/>
      <c r="C58" s="88"/>
      <c r="E58" s="194" t="e">
        <f>MATCH(A58,Table1[H_A1],0)</f>
        <v>#N/A</v>
      </c>
      <c r="F58" s="194" t="e">
        <f>MATCH(Table5[[#This Row],[NAMA]],[1]!db[NB PAJAK],0)</f>
        <v>#N/A</v>
      </c>
      <c r="G58" t="e">
        <f>INDEX(Table1[Item Description],Table5[[#This Row],[//NOTA]])</f>
        <v>#N/A</v>
      </c>
      <c r="H58">
        <f>SUMIF(Table1[H_A1],Sheet5!A58,Table1[Qty])</f>
        <v>0</v>
      </c>
      <c r="I58" t="e">
        <f>INDEX(Table1[Unit],Table5[[#This Row],[//NOTA]])</f>
        <v>#N/A</v>
      </c>
      <c r="J58" s="195">
        <f>SUMIF(Table1[H_A1],Sheet5!A58,Table1[C])</f>
        <v>0</v>
      </c>
      <c r="K58" s="195" t="e">
        <f>INDEX(Table1[Unit Price],Table5[[#This Row],[//NOTA]])</f>
        <v>#N/A</v>
      </c>
      <c r="L58" s="86" t="e">
        <f>IF(Table5[[#This Row],[a2]]="","",Table5[[#This Row],[QTY]]*12)</f>
        <v>#N/A</v>
      </c>
      <c r="M58" s="86" t="e">
        <f>IF(Table5[[#This Row],[UNIT]]="grs","LSN",IF(Table5[[#This Row],[UNIT]]="LSN","PCS",""))</f>
        <v>#N/A</v>
      </c>
      <c r="N58" s="86" t="e">
        <f>IF(Table5[[#This Row],[a2]]="LSN",Table5[[#This Row],[a1]]*12,"")</f>
        <v>#N/A</v>
      </c>
      <c r="O58" s="86" t="e">
        <f>IF(Table5[[#This Row],[b1]]="","","PCS")</f>
        <v>#N/A</v>
      </c>
      <c r="P58" s="86"/>
    </row>
    <row r="59" spans="2:16" x14ac:dyDescent="0.25">
      <c r="B59" s="88"/>
      <c r="C59" s="88"/>
      <c r="E59" s="194" t="e">
        <f>MATCH(A59,Table1[H_A1],0)</f>
        <v>#N/A</v>
      </c>
      <c r="F59" s="194" t="e">
        <f>MATCH(Table5[[#This Row],[NAMA]],[1]!db[NB PAJAK],0)</f>
        <v>#N/A</v>
      </c>
      <c r="G59" t="e">
        <f>INDEX(Table1[Item Description],Table5[[#This Row],[//NOTA]])</f>
        <v>#N/A</v>
      </c>
      <c r="H59">
        <f>SUMIF(Table1[H_A1],Sheet5!A59,Table1[Qty])</f>
        <v>0</v>
      </c>
      <c r="I59" t="e">
        <f>INDEX(Table1[Unit],Table5[[#This Row],[//NOTA]])</f>
        <v>#N/A</v>
      </c>
      <c r="J59" s="195">
        <f>SUMIF(Table1[H_A1],Sheet5!A59,Table1[C])</f>
        <v>0</v>
      </c>
      <c r="K59" s="195" t="e">
        <f>INDEX(Table1[Unit Price],Table5[[#This Row],[//NOTA]])</f>
        <v>#N/A</v>
      </c>
      <c r="L59" s="86" t="e">
        <f>IF(Table5[[#This Row],[a2]]="","",Table5[[#This Row],[QTY]]*12)</f>
        <v>#N/A</v>
      </c>
      <c r="M59" s="86" t="e">
        <f>IF(Table5[[#This Row],[UNIT]]="grs","LSN",IF(Table5[[#This Row],[UNIT]]="LSN","PCS",""))</f>
        <v>#N/A</v>
      </c>
      <c r="N59" s="86" t="e">
        <f>IF(Table5[[#This Row],[a2]]="LSN",Table5[[#This Row],[a1]]*12,"")</f>
        <v>#N/A</v>
      </c>
      <c r="O59" s="86" t="e">
        <f>IF(Table5[[#This Row],[b1]]="","","PCS")</f>
        <v>#N/A</v>
      </c>
      <c r="P59" s="86"/>
    </row>
    <row r="60" spans="2:16" x14ac:dyDescent="0.25">
      <c r="B60" s="88"/>
      <c r="C60" s="88"/>
      <c r="E60" s="194" t="e">
        <f>MATCH(A60,Table1[H_A1],0)</f>
        <v>#N/A</v>
      </c>
      <c r="F60" s="194" t="e">
        <f>MATCH(Table5[[#This Row],[NAMA]],[1]!db[NB PAJAK],0)</f>
        <v>#N/A</v>
      </c>
      <c r="G60" t="e">
        <f>INDEX(Table1[Item Description],Table5[[#This Row],[//NOTA]])</f>
        <v>#N/A</v>
      </c>
      <c r="H60">
        <f>SUMIF(Table1[H_A1],Sheet5!A60,Table1[Qty])</f>
        <v>0</v>
      </c>
      <c r="I60" t="e">
        <f>INDEX(Table1[Unit],Table5[[#This Row],[//NOTA]])</f>
        <v>#N/A</v>
      </c>
      <c r="J60" s="195">
        <f>SUMIF(Table1[H_A1],Sheet5!A60,Table1[C])</f>
        <v>0</v>
      </c>
      <c r="K60" s="195" t="e">
        <f>INDEX(Table1[Unit Price],Table5[[#This Row],[//NOTA]])</f>
        <v>#N/A</v>
      </c>
      <c r="L60" s="86" t="e">
        <f>IF(Table5[[#This Row],[a2]]="","",Table5[[#This Row],[QTY]]*12)</f>
        <v>#N/A</v>
      </c>
      <c r="M60" s="86" t="e">
        <f>IF(Table5[[#This Row],[UNIT]]="grs","LSN",IF(Table5[[#This Row],[UNIT]]="LSN","PCS",""))</f>
        <v>#N/A</v>
      </c>
      <c r="N60" s="86" t="e">
        <f>IF(Table5[[#This Row],[a2]]="LSN",Table5[[#This Row],[a1]]*12,"")</f>
        <v>#N/A</v>
      </c>
      <c r="O60" s="86" t="e">
        <f>IF(Table5[[#This Row],[b1]]="","","PCS")</f>
        <v>#N/A</v>
      </c>
      <c r="P60" s="86"/>
    </row>
    <row r="61" spans="2:16" x14ac:dyDescent="0.25">
      <c r="B61" s="88"/>
      <c r="C61" s="88"/>
      <c r="E61" s="194" t="e">
        <f>MATCH(A61,Table1[H_A1],0)</f>
        <v>#N/A</v>
      </c>
      <c r="F61" s="194" t="e">
        <f>MATCH(Table5[[#This Row],[NAMA]],[1]!db[NB PAJAK],0)</f>
        <v>#N/A</v>
      </c>
      <c r="G61" t="e">
        <f>INDEX(Table1[Item Description],Table5[[#This Row],[//NOTA]])</f>
        <v>#N/A</v>
      </c>
      <c r="H61">
        <f>SUMIF(Table1[H_A1],Sheet5!A61,Table1[Qty])</f>
        <v>0</v>
      </c>
      <c r="I61" t="e">
        <f>INDEX(Table1[Unit],Table5[[#This Row],[//NOTA]])</f>
        <v>#N/A</v>
      </c>
      <c r="J61" s="195">
        <f>SUMIF(Table1[H_A1],Sheet5!A61,Table1[C])</f>
        <v>0</v>
      </c>
      <c r="K61" s="195" t="e">
        <f>INDEX(Table1[Unit Price],Table5[[#This Row],[//NOTA]])</f>
        <v>#N/A</v>
      </c>
      <c r="L61" s="86" t="e">
        <f>IF(Table5[[#This Row],[a2]]="","",Table5[[#This Row],[QTY]]*12)</f>
        <v>#N/A</v>
      </c>
      <c r="M61" s="86" t="e">
        <f>IF(Table5[[#This Row],[UNIT]]="grs","LSN",IF(Table5[[#This Row],[UNIT]]="LSN","PCS",""))</f>
        <v>#N/A</v>
      </c>
      <c r="N61" s="86" t="e">
        <f>IF(Table5[[#This Row],[a2]]="LSN",Table5[[#This Row],[a1]]*12,"")</f>
        <v>#N/A</v>
      </c>
      <c r="O61" s="86" t="e">
        <f>IF(Table5[[#This Row],[b1]]="","","PCS")</f>
        <v>#N/A</v>
      </c>
      <c r="P61" s="86"/>
    </row>
    <row r="62" spans="2:16" x14ac:dyDescent="0.25">
      <c r="B62" s="88"/>
      <c r="C62" s="88"/>
      <c r="E62" s="194" t="e">
        <f>MATCH(A62,Table1[H_A1],0)</f>
        <v>#N/A</v>
      </c>
      <c r="F62" s="194" t="e">
        <f>MATCH(Table5[[#This Row],[NAMA]],[1]!db[NB PAJAK],0)</f>
        <v>#N/A</v>
      </c>
      <c r="G62" t="e">
        <f>INDEX(Table1[Item Description],Table5[[#This Row],[//NOTA]])</f>
        <v>#N/A</v>
      </c>
      <c r="H62">
        <f>SUMIF(Table1[H_A1],Sheet5!A62,Table1[Qty])</f>
        <v>0</v>
      </c>
      <c r="I62" t="e">
        <f>INDEX(Table1[Unit],Table5[[#This Row],[//NOTA]])</f>
        <v>#N/A</v>
      </c>
      <c r="J62" s="195">
        <f>SUMIF(Table1[H_A1],Sheet5!A62,Table1[C])</f>
        <v>0</v>
      </c>
      <c r="K62" s="195" t="e">
        <f>INDEX(Table1[Unit Price],Table5[[#This Row],[//NOTA]])</f>
        <v>#N/A</v>
      </c>
      <c r="L62" s="86" t="e">
        <f>IF(Table5[[#This Row],[a2]]="","",Table5[[#This Row],[QTY]]*12)</f>
        <v>#N/A</v>
      </c>
      <c r="M62" s="86" t="e">
        <f>IF(Table5[[#This Row],[UNIT]]="grs","LSN",IF(Table5[[#This Row],[UNIT]]="LSN","PCS",""))</f>
        <v>#N/A</v>
      </c>
      <c r="N62" s="86" t="e">
        <f>IF(Table5[[#This Row],[a2]]="LSN",Table5[[#This Row],[a1]]*12,"")</f>
        <v>#N/A</v>
      </c>
      <c r="O62" s="86" t="e">
        <f>IF(Table5[[#This Row],[b1]]="","","PCS")</f>
        <v>#N/A</v>
      </c>
      <c r="P62" s="86"/>
    </row>
    <row r="63" spans="2:16" x14ac:dyDescent="0.25">
      <c r="B63" s="88"/>
      <c r="C63" s="88"/>
      <c r="E63" s="194" t="e">
        <f>MATCH(A63,Table1[H_A1],0)</f>
        <v>#N/A</v>
      </c>
      <c r="F63" s="194" t="e">
        <f>MATCH(Table5[[#This Row],[NAMA]],[1]!db[NB PAJAK],0)</f>
        <v>#N/A</v>
      </c>
      <c r="G63" t="e">
        <f>INDEX(Table1[Item Description],Table5[[#This Row],[//NOTA]])</f>
        <v>#N/A</v>
      </c>
      <c r="H63">
        <f>SUMIF(Table1[H_A1],Sheet5!A63,Table1[Qty])</f>
        <v>0</v>
      </c>
      <c r="I63" t="e">
        <f>INDEX(Table1[Unit],Table5[[#This Row],[//NOTA]])</f>
        <v>#N/A</v>
      </c>
      <c r="J63" s="195">
        <f>SUMIF(Table1[H_A1],Sheet5!A63,Table1[C])</f>
        <v>0</v>
      </c>
      <c r="K63" s="195" t="e">
        <f>INDEX(Table1[Unit Price],Table5[[#This Row],[//NOTA]])</f>
        <v>#N/A</v>
      </c>
      <c r="L63" s="86" t="e">
        <f>IF(Table5[[#This Row],[a2]]="","",Table5[[#This Row],[QTY]]*12)</f>
        <v>#N/A</v>
      </c>
      <c r="M63" s="86" t="e">
        <f>IF(Table5[[#This Row],[UNIT]]="grs","LSN",IF(Table5[[#This Row],[UNIT]]="LSN","PCS",""))</f>
        <v>#N/A</v>
      </c>
      <c r="N63" s="86" t="e">
        <f>IF(Table5[[#This Row],[a2]]="LSN",Table5[[#This Row],[a1]]*12,"")</f>
        <v>#N/A</v>
      </c>
      <c r="O63" s="86" t="e">
        <f>IF(Table5[[#This Row],[b1]]="","","PCS")</f>
        <v>#N/A</v>
      </c>
      <c r="P63" s="86"/>
    </row>
    <row r="64" spans="2:16" x14ac:dyDescent="0.25">
      <c r="B64" s="88"/>
      <c r="C64" s="88"/>
      <c r="E64" s="194" t="e">
        <f>MATCH(A64,Table1[H_A1],0)</f>
        <v>#N/A</v>
      </c>
      <c r="F64" s="194" t="e">
        <f>MATCH(Table5[[#This Row],[NAMA]],[1]!db[NB PAJAK],0)</f>
        <v>#N/A</v>
      </c>
      <c r="G64" t="e">
        <f>INDEX(Table1[Item Description],Table5[[#This Row],[//NOTA]])</f>
        <v>#N/A</v>
      </c>
      <c r="H64">
        <f>SUMIF(Table1[H_A1],Sheet5!A64,Table1[Qty])</f>
        <v>0</v>
      </c>
      <c r="I64" t="e">
        <f>INDEX(Table1[Unit],Table5[[#This Row],[//NOTA]])</f>
        <v>#N/A</v>
      </c>
      <c r="J64" s="195">
        <f>SUMIF(Table1[H_A1],Sheet5!A64,Table1[C])</f>
        <v>0</v>
      </c>
      <c r="K64" s="195" t="e">
        <f>INDEX(Table1[Unit Price],Table5[[#This Row],[//NOTA]])</f>
        <v>#N/A</v>
      </c>
      <c r="L64" s="86" t="e">
        <f>IF(Table5[[#This Row],[a2]]="","",Table5[[#This Row],[QTY]]*12)</f>
        <v>#N/A</v>
      </c>
      <c r="M64" s="86" t="e">
        <f>IF(Table5[[#This Row],[UNIT]]="grs","LSN",IF(Table5[[#This Row],[UNIT]]="LSN","PCS",""))</f>
        <v>#N/A</v>
      </c>
      <c r="N64" s="86" t="e">
        <f>IF(Table5[[#This Row],[a2]]="LSN",Table5[[#This Row],[a1]]*12,"")</f>
        <v>#N/A</v>
      </c>
      <c r="O64" s="86" t="e">
        <f>IF(Table5[[#This Row],[b1]]="","","PCS")</f>
        <v>#N/A</v>
      </c>
      <c r="P64" s="86"/>
    </row>
    <row r="65" spans="2:16" x14ac:dyDescent="0.25">
      <c r="B65" s="88"/>
      <c r="C65" s="88"/>
      <c r="E65" s="194" t="e">
        <f>MATCH(A65,Table1[H_A1],0)</f>
        <v>#N/A</v>
      </c>
      <c r="F65" s="194" t="e">
        <f>MATCH(Table5[[#This Row],[NAMA]],[1]!db[NB PAJAK],0)</f>
        <v>#N/A</v>
      </c>
      <c r="G65" t="e">
        <f>INDEX(Table1[Item Description],Table5[[#This Row],[//NOTA]])</f>
        <v>#N/A</v>
      </c>
      <c r="H65">
        <f>SUMIF(Table1[H_A1],Sheet5!A65,Table1[Qty])</f>
        <v>0</v>
      </c>
      <c r="I65" t="e">
        <f>INDEX(Table1[Unit],Table5[[#This Row],[//NOTA]])</f>
        <v>#N/A</v>
      </c>
      <c r="J65" s="195">
        <f>SUMIF(Table1[H_A1],Sheet5!A65,Table1[C])</f>
        <v>0</v>
      </c>
      <c r="K65" s="195" t="e">
        <f>INDEX(Table1[Unit Price],Table5[[#This Row],[//NOTA]])</f>
        <v>#N/A</v>
      </c>
      <c r="L65" s="86" t="e">
        <f>IF(Table5[[#This Row],[a2]]="","",Table5[[#This Row],[QTY]]*12)</f>
        <v>#N/A</v>
      </c>
      <c r="M65" s="86" t="e">
        <f>IF(Table5[[#This Row],[UNIT]]="grs","LSN",IF(Table5[[#This Row],[UNIT]]="LSN","PCS",""))</f>
        <v>#N/A</v>
      </c>
      <c r="N65" s="86" t="e">
        <f>IF(Table5[[#This Row],[a2]]="LSN",Table5[[#This Row],[a1]]*12,"")</f>
        <v>#N/A</v>
      </c>
      <c r="O65" s="86" t="e">
        <f>IF(Table5[[#This Row],[b1]]="","","PCS")</f>
        <v>#N/A</v>
      </c>
      <c r="P65" s="86"/>
    </row>
    <row r="66" spans="2:16" x14ac:dyDescent="0.25">
      <c r="B66" s="88"/>
      <c r="C66" s="88"/>
      <c r="E66" s="194" t="e">
        <f>MATCH(A66,Table1[H_A1],0)</f>
        <v>#N/A</v>
      </c>
      <c r="F66" s="194" t="e">
        <f>MATCH(Table5[[#This Row],[NAMA]],[1]!db[NB PAJAK],0)</f>
        <v>#N/A</v>
      </c>
      <c r="G66" t="e">
        <f>INDEX(Table1[Item Description],Table5[[#This Row],[//NOTA]])</f>
        <v>#N/A</v>
      </c>
      <c r="H66">
        <f>SUMIF(Table1[H_A1],Sheet5!A66,Table1[Qty])</f>
        <v>0</v>
      </c>
      <c r="I66" t="e">
        <f>INDEX(Table1[Unit],Table5[[#This Row],[//NOTA]])</f>
        <v>#N/A</v>
      </c>
      <c r="J66" s="195">
        <f>SUMIF(Table1[H_A1],Sheet5!A66,Table1[C])</f>
        <v>0</v>
      </c>
      <c r="K66" s="195" t="e">
        <f>INDEX(Table1[Unit Price],Table5[[#This Row],[//NOTA]])</f>
        <v>#N/A</v>
      </c>
      <c r="L66" s="86" t="e">
        <f>IF(Table5[[#This Row],[a2]]="","",Table5[[#This Row],[QTY]]*12)</f>
        <v>#N/A</v>
      </c>
      <c r="M66" s="86" t="e">
        <f>IF(Table5[[#This Row],[UNIT]]="grs","LSN",IF(Table5[[#This Row],[UNIT]]="LSN","PCS",""))</f>
        <v>#N/A</v>
      </c>
      <c r="N66" s="86" t="e">
        <f>IF(Table5[[#This Row],[a2]]="LSN",Table5[[#This Row],[a1]]*12,"")</f>
        <v>#N/A</v>
      </c>
      <c r="O66" s="86" t="e">
        <f>IF(Table5[[#This Row],[b1]]="","","PCS")</f>
        <v>#N/A</v>
      </c>
      <c r="P66" s="86"/>
    </row>
    <row r="67" spans="2:16" x14ac:dyDescent="0.25">
      <c r="B67" s="88"/>
      <c r="C67" s="88"/>
      <c r="E67" s="194" t="e">
        <f>MATCH(A67,Table1[H_A1],0)</f>
        <v>#N/A</v>
      </c>
      <c r="F67" s="194" t="e">
        <f>MATCH(Table5[[#This Row],[NAMA]],[1]!db[NB PAJAK],0)</f>
        <v>#N/A</v>
      </c>
      <c r="G67" t="e">
        <f>INDEX(Table1[Item Description],Table5[[#This Row],[//NOTA]])</f>
        <v>#N/A</v>
      </c>
      <c r="H67">
        <f>SUMIF(Table1[H_A1],Sheet5!A67,Table1[Qty])</f>
        <v>0</v>
      </c>
      <c r="I67" t="e">
        <f>INDEX(Table1[Unit],Table5[[#This Row],[//NOTA]])</f>
        <v>#N/A</v>
      </c>
      <c r="J67" s="195">
        <f>SUMIF(Table1[H_A1],Sheet5!A67,Table1[C])</f>
        <v>0</v>
      </c>
      <c r="K67" s="195" t="e">
        <f>INDEX(Table1[Unit Price],Table5[[#This Row],[//NOTA]])</f>
        <v>#N/A</v>
      </c>
      <c r="L67" s="86" t="e">
        <f>IF(Table5[[#This Row],[a2]]="","",Table5[[#This Row],[QTY]]*12)</f>
        <v>#N/A</v>
      </c>
      <c r="M67" s="86" t="e">
        <f>IF(Table5[[#This Row],[UNIT]]="grs","LSN",IF(Table5[[#This Row],[UNIT]]="LSN","PCS",""))</f>
        <v>#N/A</v>
      </c>
      <c r="N67" s="86" t="e">
        <f>IF(Table5[[#This Row],[a2]]="LSN",Table5[[#This Row],[a1]]*12,"")</f>
        <v>#N/A</v>
      </c>
      <c r="O67" s="86" t="e">
        <f>IF(Table5[[#This Row],[b1]]="","","PCS")</f>
        <v>#N/A</v>
      </c>
      <c r="P67" s="86"/>
    </row>
    <row r="68" spans="2:16" x14ac:dyDescent="0.25">
      <c r="B68" s="88"/>
      <c r="C68" s="88"/>
      <c r="E68" s="194" t="e">
        <f>MATCH(A68,Table1[H_A1],0)</f>
        <v>#N/A</v>
      </c>
      <c r="F68" s="194" t="e">
        <f>MATCH(Table5[[#This Row],[NAMA]],[1]!db[NB PAJAK],0)</f>
        <v>#N/A</v>
      </c>
      <c r="G68" t="e">
        <f>INDEX(Table1[Item Description],Table5[[#This Row],[//NOTA]])</f>
        <v>#N/A</v>
      </c>
      <c r="H68">
        <f>SUMIF(Table1[H_A1],Sheet5!A68,Table1[Qty])</f>
        <v>0</v>
      </c>
      <c r="I68" t="e">
        <f>INDEX(Table1[Unit],Table5[[#This Row],[//NOTA]])</f>
        <v>#N/A</v>
      </c>
      <c r="J68" s="195">
        <f>SUMIF(Table1[H_A1],Sheet5!A68,Table1[C])</f>
        <v>0</v>
      </c>
      <c r="K68" s="195" t="e">
        <f>INDEX(Table1[Unit Price],Table5[[#This Row],[//NOTA]])</f>
        <v>#N/A</v>
      </c>
      <c r="L68" s="86" t="e">
        <f>IF(Table5[[#This Row],[a2]]="","",Table5[[#This Row],[QTY]]*12)</f>
        <v>#N/A</v>
      </c>
      <c r="M68" s="86" t="e">
        <f>IF(Table5[[#This Row],[UNIT]]="grs","LSN",IF(Table5[[#This Row],[UNIT]]="LSN","PCS",""))</f>
        <v>#N/A</v>
      </c>
      <c r="N68" s="86" t="e">
        <f>IF(Table5[[#This Row],[a2]]="LSN",Table5[[#This Row],[a1]]*12,"")</f>
        <v>#N/A</v>
      </c>
      <c r="O68" s="86" t="e">
        <f>IF(Table5[[#This Row],[b1]]="","","PCS")</f>
        <v>#N/A</v>
      </c>
      <c r="P68" s="86"/>
    </row>
    <row r="69" spans="2:16" x14ac:dyDescent="0.25">
      <c r="B69" s="88"/>
      <c r="C69" s="88"/>
      <c r="E69" s="194" t="e">
        <f>MATCH(A69,Table1[H_A1],0)</f>
        <v>#N/A</v>
      </c>
      <c r="F69" s="194" t="e">
        <f>MATCH(Table5[[#This Row],[NAMA]],[1]!db[NB PAJAK],0)</f>
        <v>#N/A</v>
      </c>
      <c r="G69" t="e">
        <f>INDEX(Table1[Item Description],Table5[[#This Row],[//NOTA]])</f>
        <v>#N/A</v>
      </c>
      <c r="H69">
        <f>SUMIF(Table1[H_A1],Sheet5!A69,Table1[Qty])</f>
        <v>0</v>
      </c>
      <c r="I69" t="e">
        <f>INDEX(Table1[Unit],Table5[[#This Row],[//NOTA]])</f>
        <v>#N/A</v>
      </c>
      <c r="J69" s="195">
        <f>SUMIF(Table1[H_A1],Sheet5!A69,Table1[C])</f>
        <v>0</v>
      </c>
      <c r="K69" s="195" t="e">
        <f>INDEX(Table1[Unit Price],Table5[[#This Row],[//NOTA]])</f>
        <v>#N/A</v>
      </c>
      <c r="L69" s="86" t="e">
        <f>IF(Table5[[#This Row],[a2]]="","",Table5[[#This Row],[QTY]]*12)</f>
        <v>#N/A</v>
      </c>
      <c r="M69" s="86" t="e">
        <f>IF(Table5[[#This Row],[UNIT]]="grs","LSN",IF(Table5[[#This Row],[UNIT]]="LSN","PCS",""))</f>
        <v>#N/A</v>
      </c>
      <c r="N69" s="86" t="e">
        <f>IF(Table5[[#This Row],[a2]]="LSN",Table5[[#This Row],[a1]]*12,"")</f>
        <v>#N/A</v>
      </c>
      <c r="O69" s="86" t="e">
        <f>IF(Table5[[#This Row],[b1]]="","","PCS")</f>
        <v>#N/A</v>
      </c>
      <c r="P69" s="86"/>
    </row>
    <row r="70" spans="2:16" x14ac:dyDescent="0.25">
      <c r="B70" s="88"/>
      <c r="C70" s="88"/>
      <c r="E70" s="194" t="e">
        <f>MATCH(A70,Table1[H_A1],0)</f>
        <v>#N/A</v>
      </c>
      <c r="F70" s="194" t="e">
        <f>MATCH(Table5[[#This Row],[NAMA]],[1]!db[NB PAJAK],0)</f>
        <v>#N/A</v>
      </c>
      <c r="G70" t="e">
        <f>INDEX(Table1[Item Description],Table5[[#This Row],[//NOTA]])</f>
        <v>#N/A</v>
      </c>
      <c r="H70">
        <f>SUMIF(Table1[H_A1],Sheet5!A70,Table1[Qty])</f>
        <v>0</v>
      </c>
      <c r="I70" t="e">
        <f>INDEX(Table1[Unit],Table5[[#This Row],[//NOTA]])</f>
        <v>#N/A</v>
      </c>
      <c r="J70" s="195">
        <f>SUMIF(Table1[H_A1],Sheet5!A70,Table1[C])</f>
        <v>0</v>
      </c>
      <c r="K70" s="195" t="e">
        <f>INDEX(Table1[Unit Price],Table5[[#This Row],[//NOTA]])</f>
        <v>#N/A</v>
      </c>
      <c r="L70" s="86" t="e">
        <f>IF(Table5[[#This Row],[a2]]="","",Table5[[#This Row],[QTY]]*12)</f>
        <v>#N/A</v>
      </c>
      <c r="M70" s="86" t="e">
        <f>IF(Table5[[#This Row],[UNIT]]="grs","LSN",IF(Table5[[#This Row],[UNIT]]="LSN","PCS",""))</f>
        <v>#N/A</v>
      </c>
      <c r="N70" s="86" t="e">
        <f>IF(Table5[[#This Row],[a2]]="LSN",Table5[[#This Row],[a1]]*12,"")</f>
        <v>#N/A</v>
      </c>
      <c r="O70" s="86" t="e">
        <f>IF(Table5[[#This Row],[b1]]="","","PCS")</f>
        <v>#N/A</v>
      </c>
      <c r="P70" s="86"/>
    </row>
    <row r="71" spans="2:16" x14ac:dyDescent="0.25">
      <c r="B71" s="88"/>
      <c r="C71" s="88"/>
      <c r="E71" s="194" t="e">
        <f>MATCH(A71,Table1[H_A1],0)</f>
        <v>#N/A</v>
      </c>
      <c r="F71" s="194" t="e">
        <f>MATCH(Table5[[#This Row],[NAMA]],[1]!db[NB PAJAK],0)</f>
        <v>#N/A</v>
      </c>
      <c r="G71" t="e">
        <f>INDEX(Table1[Item Description],Table5[[#This Row],[//NOTA]])</f>
        <v>#N/A</v>
      </c>
      <c r="H71">
        <f>SUMIF(Table1[H_A1],Sheet5!A71,Table1[Qty])</f>
        <v>0</v>
      </c>
      <c r="I71" t="e">
        <f>INDEX(Table1[Unit],Table5[[#This Row],[//NOTA]])</f>
        <v>#N/A</v>
      </c>
      <c r="J71" s="195">
        <f>SUMIF(Table1[H_A1],Sheet5!A71,Table1[C])</f>
        <v>0</v>
      </c>
      <c r="K71" s="195" t="e">
        <f>INDEX(Table1[Unit Price],Table5[[#This Row],[//NOTA]])</f>
        <v>#N/A</v>
      </c>
      <c r="L71" s="86" t="e">
        <f>IF(Table5[[#This Row],[a2]]="","",Table5[[#This Row],[QTY]]*12)</f>
        <v>#N/A</v>
      </c>
      <c r="M71" s="86" t="e">
        <f>IF(Table5[[#This Row],[UNIT]]="grs","LSN",IF(Table5[[#This Row],[UNIT]]="LSN","PCS",""))</f>
        <v>#N/A</v>
      </c>
      <c r="N71" s="86" t="e">
        <f>IF(Table5[[#This Row],[a2]]="LSN",Table5[[#This Row],[a1]]*12,"")</f>
        <v>#N/A</v>
      </c>
      <c r="O71" s="86" t="e">
        <f>IF(Table5[[#This Row],[b1]]="","","PCS")</f>
        <v>#N/A</v>
      </c>
      <c r="P71" s="86"/>
    </row>
    <row r="72" spans="2:16" x14ac:dyDescent="0.25">
      <c r="B72" s="88"/>
      <c r="C72" s="88"/>
      <c r="E72" s="194" t="e">
        <f>MATCH(A72,Table1[H_A1],0)</f>
        <v>#N/A</v>
      </c>
      <c r="F72" s="194" t="e">
        <f>MATCH(Table5[[#This Row],[NAMA]],[1]!db[NB PAJAK],0)</f>
        <v>#N/A</v>
      </c>
      <c r="G72" t="e">
        <f>INDEX(Table1[Item Description],Table5[[#This Row],[//NOTA]])</f>
        <v>#N/A</v>
      </c>
      <c r="H72">
        <f>SUMIF(Table1[H_A1],Sheet5!A72,Table1[Qty])</f>
        <v>0</v>
      </c>
      <c r="I72" t="e">
        <f>INDEX(Table1[Unit],Table5[[#This Row],[//NOTA]])</f>
        <v>#N/A</v>
      </c>
      <c r="J72" s="195">
        <f>SUMIF(Table1[H_A1],Sheet5!A72,Table1[C])</f>
        <v>0</v>
      </c>
      <c r="K72" s="195" t="e">
        <f>INDEX(Table1[Unit Price],Table5[[#This Row],[//NOTA]])</f>
        <v>#N/A</v>
      </c>
      <c r="L72" s="86" t="e">
        <f>IF(Table5[[#This Row],[a2]]="","",Table5[[#This Row],[QTY]]*12)</f>
        <v>#N/A</v>
      </c>
      <c r="M72" s="86" t="e">
        <f>IF(Table5[[#This Row],[UNIT]]="grs","LSN",IF(Table5[[#This Row],[UNIT]]="LSN","PCS",""))</f>
        <v>#N/A</v>
      </c>
      <c r="N72" s="86" t="e">
        <f>IF(Table5[[#This Row],[a2]]="LSN",Table5[[#This Row],[a1]]*12,"")</f>
        <v>#N/A</v>
      </c>
      <c r="O72" s="86" t="e">
        <f>IF(Table5[[#This Row],[b1]]="","","PCS")</f>
        <v>#N/A</v>
      </c>
      <c r="P72" s="86"/>
    </row>
    <row r="73" spans="2:16" x14ac:dyDescent="0.25">
      <c r="B73" s="88"/>
      <c r="C73" s="88"/>
      <c r="E73" s="194" t="e">
        <f>MATCH(A73,Table1[H_A1],0)</f>
        <v>#N/A</v>
      </c>
      <c r="F73" s="194" t="e">
        <f>MATCH(Table5[[#This Row],[NAMA]],[1]!db[NB PAJAK],0)</f>
        <v>#N/A</v>
      </c>
      <c r="G73" t="e">
        <f>INDEX(Table1[Item Description],Table5[[#This Row],[//NOTA]])</f>
        <v>#N/A</v>
      </c>
      <c r="H73">
        <f>SUMIF(Table1[H_A1],Sheet5!A73,Table1[Qty])</f>
        <v>0</v>
      </c>
      <c r="I73" t="e">
        <f>INDEX(Table1[Unit],Table5[[#This Row],[//NOTA]])</f>
        <v>#N/A</v>
      </c>
      <c r="J73" s="195">
        <f>SUMIF(Table1[H_A1],Sheet5!A73,Table1[C])</f>
        <v>0</v>
      </c>
      <c r="K73" s="195" t="e">
        <f>INDEX(Table1[Unit Price],Table5[[#This Row],[//NOTA]])</f>
        <v>#N/A</v>
      </c>
      <c r="L73" s="86" t="e">
        <f>IF(Table5[[#This Row],[a2]]="","",Table5[[#This Row],[QTY]]*12)</f>
        <v>#N/A</v>
      </c>
      <c r="M73" s="86" t="e">
        <f>IF(Table5[[#This Row],[UNIT]]="grs","LSN",IF(Table5[[#This Row],[UNIT]]="LSN","PCS",""))</f>
        <v>#N/A</v>
      </c>
      <c r="N73" s="86" t="e">
        <f>IF(Table5[[#This Row],[a2]]="LSN",Table5[[#This Row],[a1]]*12,"")</f>
        <v>#N/A</v>
      </c>
      <c r="O73" s="86" t="e">
        <f>IF(Table5[[#This Row],[b1]]="","","PCS")</f>
        <v>#N/A</v>
      </c>
      <c r="P73" s="86"/>
    </row>
    <row r="74" spans="2:16" x14ac:dyDescent="0.25">
      <c r="B74" s="88"/>
      <c r="C74" s="88"/>
      <c r="E74" s="194" t="e">
        <f>MATCH(A74,Table1[H_A1],0)</f>
        <v>#N/A</v>
      </c>
      <c r="F74" s="194" t="e">
        <f>MATCH(Table5[[#This Row],[NAMA]],[1]!db[NB PAJAK],0)</f>
        <v>#N/A</v>
      </c>
      <c r="G74" t="e">
        <f>INDEX(Table1[Item Description],Table5[[#This Row],[//NOTA]])</f>
        <v>#N/A</v>
      </c>
      <c r="H74">
        <f>SUMIF(Table1[H_A1],Sheet5!A74,Table1[Qty])</f>
        <v>0</v>
      </c>
      <c r="I74" t="e">
        <f>INDEX(Table1[Unit],Table5[[#This Row],[//NOTA]])</f>
        <v>#N/A</v>
      </c>
      <c r="J74" s="195">
        <f>SUMIF(Table1[H_A1],Sheet5!A74,Table1[C])</f>
        <v>0</v>
      </c>
      <c r="K74" s="195" t="e">
        <f>INDEX(Table1[Unit Price],Table5[[#This Row],[//NOTA]])</f>
        <v>#N/A</v>
      </c>
      <c r="L74" s="86" t="e">
        <f>IF(Table5[[#This Row],[a2]]="","",Table5[[#This Row],[QTY]]*12)</f>
        <v>#N/A</v>
      </c>
      <c r="M74" s="86" t="e">
        <f>IF(Table5[[#This Row],[UNIT]]="grs","LSN",IF(Table5[[#This Row],[UNIT]]="LSN","PCS",""))</f>
        <v>#N/A</v>
      </c>
      <c r="N74" s="86" t="e">
        <f>IF(Table5[[#This Row],[a2]]="LSN",Table5[[#This Row],[a1]]*12,"")</f>
        <v>#N/A</v>
      </c>
      <c r="O74" s="86" t="e">
        <f>IF(Table5[[#This Row],[b1]]="","","PCS")</f>
        <v>#N/A</v>
      </c>
      <c r="P74" s="86"/>
    </row>
    <row r="75" spans="2:16" x14ac:dyDescent="0.25">
      <c r="B75" s="88"/>
      <c r="C75" s="88"/>
      <c r="E75" s="194" t="e">
        <f>MATCH(A75,Table1[H_A1],0)</f>
        <v>#N/A</v>
      </c>
      <c r="F75" s="194" t="e">
        <f>MATCH(Table5[[#This Row],[NAMA]],[1]!db[NB PAJAK],0)</f>
        <v>#N/A</v>
      </c>
      <c r="G75" t="e">
        <f>INDEX(Table1[Item Description],Table5[[#This Row],[//NOTA]])</f>
        <v>#N/A</v>
      </c>
      <c r="H75">
        <f>SUMIF(Table1[H_A1],Sheet5!A75,Table1[Qty])</f>
        <v>0</v>
      </c>
      <c r="I75" t="e">
        <f>INDEX(Table1[Unit],Table5[[#This Row],[//NOTA]])</f>
        <v>#N/A</v>
      </c>
      <c r="J75" s="195">
        <f>SUMIF(Table1[H_A1],Sheet5!A75,Table1[C])</f>
        <v>0</v>
      </c>
      <c r="K75" s="195" t="e">
        <f>INDEX(Table1[Unit Price],Table5[[#This Row],[//NOTA]])</f>
        <v>#N/A</v>
      </c>
      <c r="L75" s="86" t="e">
        <f>IF(Table5[[#This Row],[a2]]="","",Table5[[#This Row],[QTY]]*12)</f>
        <v>#N/A</v>
      </c>
      <c r="M75" s="86" t="e">
        <f>IF(Table5[[#This Row],[UNIT]]="grs","LSN",IF(Table5[[#This Row],[UNIT]]="LSN","PCS",""))</f>
        <v>#N/A</v>
      </c>
      <c r="N75" s="86" t="e">
        <f>IF(Table5[[#This Row],[a2]]="LSN",Table5[[#This Row],[a1]]*12,"")</f>
        <v>#N/A</v>
      </c>
      <c r="O75" s="86" t="e">
        <f>IF(Table5[[#This Row],[b1]]="","","PCS")</f>
        <v>#N/A</v>
      </c>
      <c r="P75" s="86"/>
    </row>
    <row r="76" spans="2:16" x14ac:dyDescent="0.25">
      <c r="B76" s="88"/>
      <c r="C76" s="88"/>
      <c r="E76" s="194" t="e">
        <f>MATCH(A76,Table1[H_A1],0)</f>
        <v>#N/A</v>
      </c>
      <c r="F76" s="194" t="e">
        <f>MATCH(Table5[[#This Row],[NAMA]],[1]!db[NB PAJAK],0)</f>
        <v>#N/A</v>
      </c>
      <c r="G76" t="e">
        <f>INDEX(Table1[Item Description],Table5[[#This Row],[//NOTA]])</f>
        <v>#N/A</v>
      </c>
      <c r="H76">
        <f>SUMIF(Table1[H_A1],Sheet5!A76,Table1[Qty])</f>
        <v>0</v>
      </c>
      <c r="I76" t="e">
        <f>INDEX(Table1[Unit],Table5[[#This Row],[//NOTA]])</f>
        <v>#N/A</v>
      </c>
      <c r="J76" s="195">
        <f>SUMIF(Table1[H_A1],Sheet5!A76,Table1[C])</f>
        <v>0</v>
      </c>
      <c r="K76" s="195" t="e">
        <f>INDEX(Table1[Unit Price],Table5[[#This Row],[//NOTA]])</f>
        <v>#N/A</v>
      </c>
      <c r="L76" s="86" t="e">
        <f>IF(Table5[[#This Row],[a2]]="","",Table5[[#This Row],[QTY]]*12)</f>
        <v>#N/A</v>
      </c>
      <c r="M76" s="86" t="e">
        <f>IF(Table5[[#This Row],[UNIT]]="grs","LSN",IF(Table5[[#This Row],[UNIT]]="LSN","PCS",""))</f>
        <v>#N/A</v>
      </c>
      <c r="N76" s="86" t="e">
        <f>IF(Table5[[#This Row],[a2]]="LSN",Table5[[#This Row],[a1]]*12,"")</f>
        <v>#N/A</v>
      </c>
      <c r="O76" s="86" t="e">
        <f>IF(Table5[[#This Row],[b1]]="","","PCS")</f>
        <v>#N/A</v>
      </c>
      <c r="P76" s="86"/>
    </row>
    <row r="77" spans="2:16" x14ac:dyDescent="0.25">
      <c r="B77" s="88"/>
      <c r="C77" s="88"/>
      <c r="E77" s="194" t="e">
        <f>MATCH(A77,Table1[H_A1],0)</f>
        <v>#N/A</v>
      </c>
      <c r="F77" s="194" t="e">
        <f>MATCH(Table5[[#This Row],[NAMA]],[1]!db[NB PAJAK],0)</f>
        <v>#N/A</v>
      </c>
      <c r="G77" t="e">
        <f>INDEX(Table1[Item Description],Table5[[#This Row],[//NOTA]])</f>
        <v>#N/A</v>
      </c>
      <c r="H77">
        <f>SUMIF(Table1[H_A1],Sheet5!A77,Table1[Qty])</f>
        <v>0</v>
      </c>
      <c r="I77" t="e">
        <f>INDEX(Table1[Unit],Table5[[#This Row],[//NOTA]])</f>
        <v>#N/A</v>
      </c>
      <c r="J77" s="195">
        <f>SUMIF(Table1[H_A1],Sheet5!A77,Table1[C])</f>
        <v>0</v>
      </c>
      <c r="K77" s="195" t="e">
        <f>INDEX(Table1[Unit Price],Table5[[#This Row],[//NOTA]])</f>
        <v>#N/A</v>
      </c>
      <c r="L77" s="86" t="e">
        <f>IF(Table5[[#This Row],[a2]]="","",Table5[[#This Row],[QTY]]*12)</f>
        <v>#N/A</v>
      </c>
      <c r="M77" s="86" t="e">
        <f>IF(Table5[[#This Row],[UNIT]]="grs","LSN",IF(Table5[[#This Row],[UNIT]]="LSN","PCS",""))</f>
        <v>#N/A</v>
      </c>
      <c r="N77" s="86" t="e">
        <f>IF(Table5[[#This Row],[a2]]="LSN",Table5[[#This Row],[a1]]*12,"")</f>
        <v>#N/A</v>
      </c>
      <c r="O77" s="86" t="e">
        <f>IF(Table5[[#This Row],[b1]]="","","PCS")</f>
        <v>#N/A</v>
      </c>
      <c r="P77" s="86"/>
    </row>
    <row r="78" spans="2:16" x14ac:dyDescent="0.25">
      <c r="B78" s="88"/>
      <c r="C78" s="88"/>
      <c r="E78" s="194" t="e">
        <f>MATCH(A78,Table1[H_A1],0)</f>
        <v>#N/A</v>
      </c>
      <c r="F78" s="194" t="e">
        <f>MATCH(Table5[[#This Row],[NAMA]],[1]!db[NB PAJAK],0)</f>
        <v>#N/A</v>
      </c>
      <c r="G78" t="e">
        <f>INDEX(Table1[Item Description],Table5[[#This Row],[//NOTA]])</f>
        <v>#N/A</v>
      </c>
      <c r="H78">
        <f>SUMIF(Table1[H_A1],Sheet5!A78,Table1[Qty])</f>
        <v>0</v>
      </c>
      <c r="I78" t="e">
        <f>INDEX(Table1[Unit],Table5[[#This Row],[//NOTA]])</f>
        <v>#N/A</v>
      </c>
      <c r="J78" s="195">
        <f>SUMIF(Table1[H_A1],Sheet5!A78,Table1[C])</f>
        <v>0</v>
      </c>
      <c r="K78" s="195" t="e">
        <f>INDEX(Table1[Unit Price],Table5[[#This Row],[//NOTA]])</f>
        <v>#N/A</v>
      </c>
      <c r="L78" s="86" t="e">
        <f>IF(Table5[[#This Row],[a2]]="","",Table5[[#This Row],[QTY]]*12)</f>
        <v>#N/A</v>
      </c>
      <c r="M78" s="86" t="e">
        <f>IF(Table5[[#This Row],[UNIT]]="grs","LSN",IF(Table5[[#This Row],[UNIT]]="LSN","PCS",""))</f>
        <v>#N/A</v>
      </c>
      <c r="N78" s="86" t="e">
        <f>IF(Table5[[#This Row],[a2]]="LSN",Table5[[#This Row],[a1]]*12,"")</f>
        <v>#N/A</v>
      </c>
      <c r="O78" s="86" t="e">
        <f>IF(Table5[[#This Row],[b1]]="","","PCS")</f>
        <v>#N/A</v>
      </c>
      <c r="P78" s="86"/>
    </row>
    <row r="79" spans="2:16" x14ac:dyDescent="0.25">
      <c r="B79" s="88"/>
      <c r="C79" s="88"/>
      <c r="E79" s="194" t="e">
        <f>MATCH(A79,Table1[H_A1],0)</f>
        <v>#N/A</v>
      </c>
      <c r="F79" s="194" t="e">
        <f>MATCH(Table5[[#This Row],[NAMA]],[1]!db[NB PAJAK],0)</f>
        <v>#N/A</v>
      </c>
      <c r="G79" t="e">
        <f>INDEX(Table1[Item Description],Table5[[#This Row],[//NOTA]])</f>
        <v>#N/A</v>
      </c>
      <c r="H79">
        <f>SUMIF(Table1[H_A1],Sheet5!A79,Table1[Qty])</f>
        <v>0</v>
      </c>
      <c r="I79" t="e">
        <f>INDEX(Table1[Unit],Table5[[#This Row],[//NOTA]])</f>
        <v>#N/A</v>
      </c>
      <c r="J79" s="195">
        <f>SUMIF(Table1[H_A1],Sheet5!A79,Table1[C])</f>
        <v>0</v>
      </c>
      <c r="K79" s="195" t="e">
        <f>INDEX(Table1[Unit Price],Table5[[#This Row],[//NOTA]])</f>
        <v>#N/A</v>
      </c>
      <c r="L79" s="86" t="e">
        <f>IF(Table5[[#This Row],[a2]]="","",Table5[[#This Row],[QTY]]*12)</f>
        <v>#N/A</v>
      </c>
      <c r="M79" s="86" t="e">
        <f>IF(Table5[[#This Row],[UNIT]]="grs","LSN",IF(Table5[[#This Row],[UNIT]]="LSN","PCS",""))</f>
        <v>#N/A</v>
      </c>
      <c r="N79" s="86" t="e">
        <f>IF(Table5[[#This Row],[a2]]="LSN",Table5[[#This Row],[a1]]*12,"")</f>
        <v>#N/A</v>
      </c>
      <c r="O79" s="86" t="e">
        <f>IF(Table5[[#This Row],[b1]]="","","PCS")</f>
        <v>#N/A</v>
      </c>
      <c r="P79" s="86"/>
    </row>
    <row r="80" spans="2:16" x14ac:dyDescent="0.25">
      <c r="B80" s="88"/>
      <c r="C80" s="88"/>
      <c r="E80" s="194" t="e">
        <f>MATCH(A80,Table1[H_A1],0)</f>
        <v>#N/A</v>
      </c>
      <c r="F80" s="194" t="e">
        <f>MATCH(Table5[[#This Row],[NAMA]],[1]!db[NB PAJAK],0)</f>
        <v>#N/A</v>
      </c>
      <c r="G80" t="e">
        <f>INDEX(Table1[Item Description],Table5[[#This Row],[//NOTA]])</f>
        <v>#N/A</v>
      </c>
      <c r="H80">
        <f>SUMIF(Table1[H_A1],Sheet5!A80,Table1[Qty])</f>
        <v>0</v>
      </c>
      <c r="I80" t="e">
        <f>INDEX(Table1[Unit],Table5[[#This Row],[//NOTA]])</f>
        <v>#N/A</v>
      </c>
      <c r="J80" s="195">
        <f>SUMIF(Table1[H_A1],Sheet5!A80,Table1[C])</f>
        <v>0</v>
      </c>
      <c r="K80" s="195" t="e">
        <f>INDEX(Table1[Unit Price],Table5[[#This Row],[//NOTA]])</f>
        <v>#N/A</v>
      </c>
      <c r="L80" s="86" t="e">
        <f>IF(Table5[[#This Row],[a2]]="","",Table5[[#This Row],[QTY]]*12)</f>
        <v>#N/A</v>
      </c>
      <c r="M80" s="86" t="e">
        <f>IF(Table5[[#This Row],[UNIT]]="grs","LSN",IF(Table5[[#This Row],[UNIT]]="LSN","PCS",""))</f>
        <v>#N/A</v>
      </c>
      <c r="N80" s="86" t="e">
        <f>IF(Table5[[#This Row],[a2]]="LSN",Table5[[#This Row],[a1]]*12,"")</f>
        <v>#N/A</v>
      </c>
      <c r="O80" s="86" t="e">
        <f>IF(Table5[[#This Row],[b1]]="","","PCS")</f>
        <v>#N/A</v>
      </c>
      <c r="P80" s="86"/>
    </row>
    <row r="81" spans="2:16" x14ac:dyDescent="0.25">
      <c r="B81" s="88"/>
      <c r="C81" s="88"/>
      <c r="E81" s="194" t="e">
        <f>MATCH(A81,Table1[H_A1],0)</f>
        <v>#N/A</v>
      </c>
      <c r="F81" s="194" t="e">
        <f>MATCH(Table5[[#This Row],[NAMA]],[1]!db[NB PAJAK],0)</f>
        <v>#N/A</v>
      </c>
      <c r="G81" t="e">
        <f>INDEX(Table1[Item Description],Table5[[#This Row],[//NOTA]])</f>
        <v>#N/A</v>
      </c>
      <c r="H81">
        <f>SUMIF(Table1[H_A1],Sheet5!A81,Table1[Qty])</f>
        <v>0</v>
      </c>
      <c r="I81" t="e">
        <f>INDEX(Table1[Unit],Table5[[#This Row],[//NOTA]])</f>
        <v>#N/A</v>
      </c>
      <c r="J81" s="195">
        <f>SUMIF(Table1[H_A1],Sheet5!A81,Table1[C])</f>
        <v>0</v>
      </c>
      <c r="K81" s="195" t="e">
        <f>INDEX(Table1[Unit Price],Table5[[#This Row],[//NOTA]])</f>
        <v>#N/A</v>
      </c>
      <c r="L81" s="86" t="e">
        <f>IF(Table5[[#This Row],[a2]]="","",Table5[[#This Row],[QTY]]*12)</f>
        <v>#N/A</v>
      </c>
      <c r="M81" s="86" t="e">
        <f>IF(Table5[[#This Row],[UNIT]]="grs","LSN",IF(Table5[[#This Row],[UNIT]]="LSN","PCS",""))</f>
        <v>#N/A</v>
      </c>
      <c r="N81" s="86" t="e">
        <f>IF(Table5[[#This Row],[a2]]="LSN",Table5[[#This Row],[a1]]*12,"")</f>
        <v>#N/A</v>
      </c>
      <c r="O81" s="86" t="e">
        <f>IF(Table5[[#This Row],[b1]]="","","PCS")</f>
        <v>#N/A</v>
      </c>
      <c r="P81" s="86"/>
    </row>
    <row r="82" spans="2:16" x14ac:dyDescent="0.25">
      <c r="B82" s="88"/>
      <c r="C82" s="88"/>
      <c r="E82" s="194" t="e">
        <f>MATCH(A82,Table1[H_A1],0)</f>
        <v>#N/A</v>
      </c>
      <c r="F82" s="194" t="e">
        <f>MATCH(Table5[[#This Row],[NAMA]],[1]!db[NB PAJAK],0)</f>
        <v>#N/A</v>
      </c>
      <c r="G82" t="e">
        <f>INDEX(Table1[Item Description],Table5[[#This Row],[//NOTA]])</f>
        <v>#N/A</v>
      </c>
      <c r="H82">
        <f>SUMIF(Table1[H_A1],Sheet5!A82,Table1[Qty])</f>
        <v>0</v>
      </c>
      <c r="I82" t="e">
        <f>INDEX(Table1[Unit],Table5[[#This Row],[//NOTA]])</f>
        <v>#N/A</v>
      </c>
      <c r="J82" s="195">
        <f>SUMIF(Table1[H_A1],Sheet5!A82,Table1[C])</f>
        <v>0</v>
      </c>
      <c r="K82" s="195" t="e">
        <f>INDEX(Table1[Unit Price],Table5[[#This Row],[//NOTA]])</f>
        <v>#N/A</v>
      </c>
      <c r="L82" s="86" t="e">
        <f>IF(Table5[[#This Row],[a2]]="","",Table5[[#This Row],[QTY]]*12)</f>
        <v>#N/A</v>
      </c>
      <c r="M82" s="86" t="e">
        <f>IF(Table5[[#This Row],[UNIT]]="grs","LSN",IF(Table5[[#This Row],[UNIT]]="LSN","PCS",""))</f>
        <v>#N/A</v>
      </c>
      <c r="N82" s="86" t="e">
        <f>IF(Table5[[#This Row],[a2]]="LSN",Table5[[#This Row],[a1]]*12,"")</f>
        <v>#N/A</v>
      </c>
      <c r="O82" s="86" t="e">
        <f>IF(Table5[[#This Row],[b1]]="","","PCS")</f>
        <v>#N/A</v>
      </c>
      <c r="P82" s="86"/>
    </row>
    <row r="83" spans="2:16" x14ac:dyDescent="0.25">
      <c r="B83" s="88"/>
      <c r="C83" s="88"/>
      <c r="E83" s="194" t="e">
        <f>MATCH(A83,Table1[H_A1],0)</f>
        <v>#N/A</v>
      </c>
      <c r="F83" s="194" t="e">
        <f>MATCH(Table5[[#This Row],[NAMA]],[1]!db[NB PAJAK],0)</f>
        <v>#N/A</v>
      </c>
      <c r="G83" t="e">
        <f>INDEX(Table1[Item Description],Table5[[#This Row],[//NOTA]])</f>
        <v>#N/A</v>
      </c>
      <c r="H83">
        <f>SUMIF(Table1[H_A1],Sheet5!A83,Table1[Qty])</f>
        <v>0</v>
      </c>
      <c r="I83" t="e">
        <f>INDEX(Table1[Unit],Table5[[#This Row],[//NOTA]])</f>
        <v>#N/A</v>
      </c>
      <c r="J83" s="195">
        <f>SUMIF(Table1[H_A1],Sheet5!A83,Table1[C])</f>
        <v>0</v>
      </c>
      <c r="K83" s="195" t="e">
        <f>INDEX(Table1[Unit Price],Table5[[#This Row],[//NOTA]])</f>
        <v>#N/A</v>
      </c>
      <c r="L83" s="86" t="e">
        <f>IF(Table5[[#This Row],[a2]]="","",Table5[[#This Row],[QTY]]*12)</f>
        <v>#N/A</v>
      </c>
      <c r="M83" s="86" t="e">
        <f>IF(Table5[[#This Row],[UNIT]]="grs","LSN",IF(Table5[[#This Row],[UNIT]]="LSN","PCS",""))</f>
        <v>#N/A</v>
      </c>
      <c r="N83" s="86" t="e">
        <f>IF(Table5[[#This Row],[a2]]="LSN",Table5[[#This Row],[a1]]*12,"")</f>
        <v>#N/A</v>
      </c>
      <c r="O83" s="86" t="e">
        <f>IF(Table5[[#This Row],[b1]]="","","PCS")</f>
        <v>#N/A</v>
      </c>
      <c r="P83" s="86"/>
    </row>
    <row r="84" spans="2:16" x14ac:dyDescent="0.25">
      <c r="B84" s="88"/>
      <c r="C84" s="88"/>
      <c r="E84" s="194" t="e">
        <f>MATCH(A84,Table1[H_A1],0)</f>
        <v>#N/A</v>
      </c>
      <c r="F84" s="194" t="e">
        <f>MATCH(Table5[[#This Row],[NAMA]],[1]!db[NB PAJAK],0)</f>
        <v>#N/A</v>
      </c>
      <c r="G84" t="e">
        <f>INDEX(Table1[Item Description],Table5[[#This Row],[//NOTA]])</f>
        <v>#N/A</v>
      </c>
      <c r="H84">
        <f>SUMIF(Table1[H_A1],Sheet5!A84,Table1[Qty])</f>
        <v>0</v>
      </c>
      <c r="I84" t="e">
        <f>INDEX(Table1[Unit],Table5[[#This Row],[//NOTA]])</f>
        <v>#N/A</v>
      </c>
      <c r="J84" s="195">
        <f>SUMIF(Table1[H_A1],Sheet5!A84,Table1[C])</f>
        <v>0</v>
      </c>
      <c r="K84" s="195" t="e">
        <f>INDEX(Table1[Unit Price],Table5[[#This Row],[//NOTA]])</f>
        <v>#N/A</v>
      </c>
      <c r="L84" s="86" t="e">
        <f>IF(Table5[[#This Row],[a2]]="","",Table5[[#This Row],[QTY]]*12)</f>
        <v>#N/A</v>
      </c>
      <c r="M84" s="86" t="e">
        <f>IF(Table5[[#This Row],[UNIT]]="grs","LSN",IF(Table5[[#This Row],[UNIT]]="LSN","PCS",""))</f>
        <v>#N/A</v>
      </c>
      <c r="N84" s="86" t="e">
        <f>IF(Table5[[#This Row],[a2]]="LSN",Table5[[#This Row],[a1]]*12,"")</f>
        <v>#N/A</v>
      </c>
      <c r="O84" s="86" t="e">
        <f>IF(Table5[[#This Row],[b1]]="","","PCS")</f>
        <v>#N/A</v>
      </c>
      <c r="P84" s="86"/>
    </row>
    <row r="85" spans="2:16" x14ac:dyDescent="0.25">
      <c r="B85" s="88"/>
      <c r="C85" s="88"/>
      <c r="E85" s="194" t="e">
        <f>MATCH(A85,Table1[H_A1],0)</f>
        <v>#N/A</v>
      </c>
      <c r="F85" s="194" t="e">
        <f>MATCH(Table5[[#This Row],[NAMA]],[1]!db[NB PAJAK],0)</f>
        <v>#N/A</v>
      </c>
      <c r="G85" t="e">
        <f>INDEX(Table1[Item Description],Table5[[#This Row],[//NOTA]])</f>
        <v>#N/A</v>
      </c>
      <c r="H85">
        <f>SUMIF(Table1[H_A1],Sheet5!A85,Table1[Qty])</f>
        <v>0</v>
      </c>
      <c r="I85" t="e">
        <f>INDEX(Table1[Unit],Table5[[#This Row],[//NOTA]])</f>
        <v>#N/A</v>
      </c>
      <c r="J85" s="195">
        <f>SUMIF(Table1[H_A1],Sheet5!A85,Table1[C])</f>
        <v>0</v>
      </c>
      <c r="K85" s="195" t="e">
        <f>INDEX(Table1[Unit Price],Table5[[#This Row],[//NOTA]])</f>
        <v>#N/A</v>
      </c>
      <c r="L85" s="86" t="e">
        <f>IF(Table5[[#This Row],[a2]]="","",Table5[[#This Row],[QTY]]*12)</f>
        <v>#N/A</v>
      </c>
      <c r="M85" s="86" t="e">
        <f>IF(Table5[[#This Row],[UNIT]]="grs","LSN",IF(Table5[[#This Row],[UNIT]]="LSN","PCS",""))</f>
        <v>#N/A</v>
      </c>
      <c r="N85" s="86" t="e">
        <f>IF(Table5[[#This Row],[a2]]="LSN",Table5[[#This Row],[a1]]*12,"")</f>
        <v>#N/A</v>
      </c>
      <c r="O85" s="86" t="e">
        <f>IF(Table5[[#This Row],[b1]]="","","PCS")</f>
        <v>#N/A</v>
      </c>
      <c r="P85" s="86"/>
    </row>
    <row r="86" spans="2:16" x14ac:dyDescent="0.25"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2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2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2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2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2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2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2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2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2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2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42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8"/>
  <sheetViews>
    <sheetView workbookViewId="0">
      <selection activeCell="K3" sqref="K3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5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5" x14ac:dyDescent="0.25">
      <c r="A7" t="s">
        <v>99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5" x14ac:dyDescent="0.25">
      <c r="A8" t="s">
        <v>98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5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5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5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5" x14ac:dyDescent="0.25">
      <c r="A12" t="s">
        <v>92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5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5" x14ac:dyDescent="0.25">
      <c r="A14" t="s">
        <v>90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5" x14ac:dyDescent="0.25">
      <c r="A15" t="s">
        <v>93</v>
      </c>
      <c r="B15" t="s">
        <v>94</v>
      </c>
      <c r="C15" t="s">
        <v>95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5" x14ac:dyDescent="0.25">
      <c r="A16" t="s">
        <v>97</v>
      </c>
      <c r="B16" t="s">
        <v>96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100</v>
      </c>
      <c r="B17" t="s">
        <v>118</v>
      </c>
      <c r="C17" t="s">
        <v>101</v>
      </c>
      <c r="D17" t="s">
        <v>102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103</v>
      </c>
      <c r="B18" t="s">
        <v>105</v>
      </c>
      <c r="D18" t="s">
        <v>104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2023-03-11T09:15:49Z</dcterms:modified>
</cp:coreProperties>
</file>