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1" sheetId="1" r:id="rId1"/>
    <sheet name="ATALI" sheetId="3" r:id="rId2"/>
    <sheet name="KENKO" sheetId="4" r:id="rId3"/>
    <sheet name="KALINDO" sheetId="6" r:id="rId4"/>
    <sheet name="99 JAYA UTAMA" sheetId="5" r:id="rId5"/>
    <sheet name="SAJ" sheetId="7" r:id="rId6"/>
    <sheet name="MGN" sheetId="8" r:id="rId7"/>
    <sheet name="var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47" i="3" l="1"/>
  <c r="B248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D247" i="3"/>
  <c r="D253" i="3"/>
  <c r="D257" i="3"/>
  <c r="D261" i="3"/>
  <c r="D269" i="3"/>
  <c r="H269" i="3" l="1"/>
  <c r="G269" i="3"/>
  <c r="I269" i="3"/>
  <c r="C269" i="3"/>
  <c r="H265" i="3"/>
  <c r="G265" i="3"/>
  <c r="C265" i="3"/>
  <c r="I265" i="3"/>
  <c r="D263" i="3"/>
  <c r="H263" i="3"/>
  <c r="I263" i="3"/>
  <c r="C263" i="3"/>
  <c r="G263" i="3"/>
  <c r="H261" i="3"/>
  <c r="G261" i="3"/>
  <c r="I261" i="3"/>
  <c r="C261" i="3"/>
  <c r="D259" i="3"/>
  <c r="H259" i="3"/>
  <c r="I259" i="3"/>
  <c r="C259" i="3"/>
  <c r="G259" i="3"/>
  <c r="H257" i="3"/>
  <c r="G257" i="3"/>
  <c r="C257" i="3"/>
  <c r="I257" i="3"/>
  <c r="D255" i="3"/>
  <c r="H255" i="3"/>
  <c r="I255" i="3"/>
  <c r="C255" i="3"/>
  <c r="G255" i="3"/>
  <c r="H253" i="3"/>
  <c r="G253" i="3"/>
  <c r="I253" i="3"/>
  <c r="C253" i="3"/>
  <c r="H251" i="3"/>
  <c r="I251" i="3"/>
  <c r="C251" i="3"/>
  <c r="G251" i="3"/>
  <c r="D248" i="3"/>
  <c r="I248" i="3"/>
  <c r="G248" i="3"/>
  <c r="C248" i="3"/>
  <c r="H248" i="3"/>
  <c r="D267" i="3"/>
  <c r="H267" i="3"/>
  <c r="I267" i="3"/>
  <c r="C267" i="3"/>
  <c r="G267" i="3"/>
  <c r="D265" i="3"/>
  <c r="I268" i="3"/>
  <c r="G268" i="3"/>
  <c r="C268" i="3"/>
  <c r="H268" i="3"/>
  <c r="I266" i="3"/>
  <c r="G266" i="3"/>
  <c r="C266" i="3"/>
  <c r="H266" i="3"/>
  <c r="I264" i="3"/>
  <c r="G264" i="3"/>
  <c r="C264" i="3"/>
  <c r="H264" i="3"/>
  <c r="I262" i="3"/>
  <c r="G262" i="3"/>
  <c r="C262" i="3"/>
  <c r="H262" i="3"/>
  <c r="I260" i="3"/>
  <c r="G260" i="3"/>
  <c r="C260" i="3"/>
  <c r="H260" i="3"/>
  <c r="I258" i="3"/>
  <c r="G258" i="3"/>
  <c r="C258" i="3"/>
  <c r="H258" i="3"/>
  <c r="I256" i="3"/>
  <c r="G256" i="3"/>
  <c r="C256" i="3"/>
  <c r="H256" i="3"/>
  <c r="I254" i="3"/>
  <c r="G254" i="3"/>
  <c r="C254" i="3"/>
  <c r="H254" i="3"/>
  <c r="I252" i="3"/>
  <c r="G252" i="3"/>
  <c r="C252" i="3"/>
  <c r="H252" i="3"/>
  <c r="I250" i="3"/>
  <c r="G250" i="3"/>
  <c r="C250" i="3"/>
  <c r="H250" i="3"/>
  <c r="H247" i="3"/>
  <c r="I247" i="3"/>
  <c r="C247" i="3"/>
  <c r="G247" i="3"/>
  <c r="D251" i="3"/>
  <c r="D268" i="3"/>
  <c r="D266" i="3"/>
  <c r="D264" i="3"/>
  <c r="D262" i="3"/>
  <c r="D260" i="3"/>
  <c r="D258" i="3"/>
  <c r="D256" i="3"/>
  <c r="D254" i="3"/>
  <c r="D252" i="3"/>
  <c r="D250" i="3"/>
  <c r="B245" i="3" l="1"/>
  <c r="B246" i="3"/>
  <c r="I246" i="3" l="1"/>
  <c r="G246" i="3"/>
  <c r="C246" i="3"/>
  <c r="H246" i="3"/>
  <c r="H245" i="3"/>
  <c r="G245" i="3"/>
  <c r="I245" i="3"/>
  <c r="C245" i="3"/>
  <c r="D245" i="3"/>
  <c r="D246" i="3"/>
  <c r="B17" i="6"/>
  <c r="B16" i="6"/>
  <c r="B15" i="6"/>
  <c r="B14" i="6"/>
  <c r="I15" i="6" l="1"/>
  <c r="G15" i="6"/>
  <c r="C15" i="6"/>
  <c r="H15" i="6"/>
  <c r="H14" i="6"/>
  <c r="I14" i="6"/>
  <c r="C14" i="6"/>
  <c r="G14" i="6"/>
  <c r="H16" i="6"/>
  <c r="G16" i="6"/>
  <c r="C16" i="6"/>
  <c r="I16" i="6"/>
  <c r="I17" i="6"/>
  <c r="G17" i="6"/>
  <c r="C17" i="6"/>
  <c r="H17" i="6"/>
  <c r="D17" i="6"/>
  <c r="F17" i="6"/>
  <c r="D15" i="6"/>
  <c r="D14" i="6"/>
  <c r="D16" i="6"/>
  <c r="F14" i="6"/>
  <c r="F15" i="6"/>
  <c r="F16" i="6"/>
  <c r="B214" i="3" l="1"/>
  <c r="B215" i="3"/>
  <c r="B216" i="3"/>
  <c r="B217" i="3"/>
  <c r="B218" i="3"/>
  <c r="B219" i="3"/>
  <c r="B220" i="3"/>
  <c r="B221" i="3"/>
  <c r="B222" i="3"/>
  <c r="B207" i="3"/>
  <c r="B208" i="3"/>
  <c r="B209" i="3"/>
  <c r="B210" i="3"/>
  <c r="B211" i="3"/>
  <c r="B212" i="3"/>
  <c r="B202" i="3"/>
  <c r="B203" i="3"/>
  <c r="B204" i="3"/>
  <c r="B205" i="3"/>
  <c r="B197" i="3"/>
  <c r="B198" i="3"/>
  <c r="B199" i="3"/>
  <c r="B200" i="3"/>
  <c r="B189" i="3"/>
  <c r="B190" i="3"/>
  <c r="B191" i="3"/>
  <c r="B192" i="3"/>
  <c r="B193" i="3"/>
  <c r="B194" i="3"/>
  <c r="B195" i="3"/>
  <c r="B177" i="3"/>
  <c r="B178" i="3"/>
  <c r="B179" i="3"/>
  <c r="B180" i="3"/>
  <c r="B181" i="3"/>
  <c r="B182" i="3"/>
  <c r="B183" i="3"/>
  <c r="B184" i="3"/>
  <c r="B185" i="3"/>
  <c r="B186" i="3"/>
  <c r="B187" i="3"/>
  <c r="I186" i="3" l="1"/>
  <c r="G186" i="3"/>
  <c r="C186" i="3"/>
  <c r="H186" i="3"/>
  <c r="I184" i="3"/>
  <c r="G184" i="3"/>
  <c r="C184" i="3"/>
  <c r="H184" i="3"/>
  <c r="I182" i="3"/>
  <c r="G182" i="3"/>
  <c r="C182" i="3"/>
  <c r="H182" i="3"/>
  <c r="I180" i="3"/>
  <c r="G180" i="3"/>
  <c r="C180" i="3"/>
  <c r="H180" i="3"/>
  <c r="I178" i="3"/>
  <c r="G178" i="3"/>
  <c r="C178" i="3"/>
  <c r="H178" i="3"/>
  <c r="D195" i="3"/>
  <c r="H195" i="3"/>
  <c r="I195" i="3"/>
  <c r="C195" i="3"/>
  <c r="G195" i="3"/>
  <c r="D193" i="3"/>
  <c r="H193" i="3"/>
  <c r="G193" i="3"/>
  <c r="I193" i="3"/>
  <c r="C193" i="3"/>
  <c r="D191" i="3"/>
  <c r="H191" i="3"/>
  <c r="I191" i="3"/>
  <c r="C191" i="3"/>
  <c r="G191" i="3"/>
  <c r="D189" i="3"/>
  <c r="H189" i="3"/>
  <c r="G189" i="3"/>
  <c r="C189" i="3"/>
  <c r="I189" i="3"/>
  <c r="D199" i="3"/>
  <c r="H199" i="3"/>
  <c r="I199" i="3"/>
  <c r="C199" i="3"/>
  <c r="G199" i="3"/>
  <c r="D197" i="3"/>
  <c r="H197" i="3"/>
  <c r="G197" i="3"/>
  <c r="I197" i="3"/>
  <c r="C197" i="3"/>
  <c r="D204" i="3"/>
  <c r="I204" i="3"/>
  <c r="G204" i="3"/>
  <c r="C204" i="3"/>
  <c r="H204" i="3"/>
  <c r="I202" i="3"/>
  <c r="G202" i="3"/>
  <c r="C202" i="3"/>
  <c r="H202" i="3"/>
  <c r="H211" i="3"/>
  <c r="I211" i="3"/>
  <c r="C211" i="3"/>
  <c r="G211" i="3"/>
  <c r="H209" i="3"/>
  <c r="G209" i="3"/>
  <c r="I209" i="3"/>
  <c r="C209" i="3"/>
  <c r="H207" i="3"/>
  <c r="I207" i="3"/>
  <c r="C207" i="3"/>
  <c r="G207" i="3"/>
  <c r="H221" i="3"/>
  <c r="G221" i="3"/>
  <c r="I221" i="3"/>
  <c r="C221" i="3"/>
  <c r="H219" i="3"/>
  <c r="I219" i="3"/>
  <c r="C219" i="3"/>
  <c r="G219" i="3"/>
  <c r="H217" i="3"/>
  <c r="G217" i="3"/>
  <c r="I217" i="3"/>
  <c r="C217" i="3"/>
  <c r="H215" i="3"/>
  <c r="I215" i="3"/>
  <c r="C215" i="3"/>
  <c r="G215" i="3"/>
  <c r="H187" i="3"/>
  <c r="I187" i="3"/>
  <c r="C187" i="3"/>
  <c r="G187" i="3"/>
  <c r="H185" i="3"/>
  <c r="G185" i="3"/>
  <c r="I185" i="3"/>
  <c r="C185" i="3"/>
  <c r="H183" i="3"/>
  <c r="I183" i="3"/>
  <c r="C183" i="3"/>
  <c r="G183" i="3"/>
  <c r="H181" i="3"/>
  <c r="G181" i="3"/>
  <c r="C181" i="3"/>
  <c r="I181" i="3"/>
  <c r="H179" i="3"/>
  <c r="I179" i="3"/>
  <c r="C179" i="3"/>
  <c r="G179" i="3"/>
  <c r="H177" i="3"/>
  <c r="G177" i="3"/>
  <c r="I177" i="3"/>
  <c r="C177" i="3"/>
  <c r="I194" i="3"/>
  <c r="G194" i="3"/>
  <c r="C194" i="3"/>
  <c r="H194" i="3"/>
  <c r="I192" i="3"/>
  <c r="G192" i="3"/>
  <c r="C192" i="3"/>
  <c r="H192" i="3"/>
  <c r="I190" i="3"/>
  <c r="G190" i="3"/>
  <c r="C190" i="3"/>
  <c r="H190" i="3"/>
  <c r="I200" i="3"/>
  <c r="G200" i="3"/>
  <c r="C200" i="3"/>
  <c r="H200" i="3"/>
  <c r="I198" i="3"/>
  <c r="G198" i="3"/>
  <c r="C198" i="3"/>
  <c r="H198" i="3"/>
  <c r="H205" i="3"/>
  <c r="G205" i="3"/>
  <c r="I205" i="3"/>
  <c r="C205" i="3"/>
  <c r="H203" i="3"/>
  <c r="I203" i="3"/>
  <c r="C203" i="3"/>
  <c r="G203" i="3"/>
  <c r="I212" i="3"/>
  <c r="G212" i="3"/>
  <c r="C212" i="3"/>
  <c r="H212" i="3"/>
  <c r="I210" i="3"/>
  <c r="G210" i="3"/>
  <c r="C210" i="3"/>
  <c r="H210" i="3"/>
  <c r="I208" i="3"/>
  <c r="G208" i="3"/>
  <c r="C208" i="3"/>
  <c r="H208" i="3"/>
  <c r="I222" i="3"/>
  <c r="G222" i="3"/>
  <c r="C222" i="3"/>
  <c r="H222" i="3"/>
  <c r="I220" i="3"/>
  <c r="G220" i="3"/>
  <c r="C220" i="3"/>
  <c r="H220" i="3"/>
  <c r="I218" i="3"/>
  <c r="G218" i="3"/>
  <c r="C218" i="3"/>
  <c r="H218" i="3"/>
  <c r="I216" i="3"/>
  <c r="G216" i="3"/>
  <c r="C216" i="3"/>
  <c r="H216" i="3"/>
  <c r="I214" i="3"/>
  <c r="G214" i="3"/>
  <c r="C214" i="3"/>
  <c r="H214" i="3"/>
  <c r="D178" i="3"/>
  <c r="D184" i="3"/>
  <c r="D202" i="3"/>
  <c r="D209" i="3"/>
  <c r="D221" i="3"/>
  <c r="D217" i="3"/>
  <c r="D181" i="3"/>
  <c r="D182" i="3"/>
  <c r="D179" i="3"/>
  <c r="D185" i="3"/>
  <c r="D187" i="3"/>
  <c r="D186" i="3"/>
  <c r="D183" i="3"/>
  <c r="D180" i="3"/>
  <c r="D215" i="3"/>
  <c r="D211" i="3"/>
  <c r="D207" i="3"/>
  <c r="D219" i="3"/>
  <c r="D203" i="3"/>
  <c r="D212" i="3"/>
  <c r="D210" i="3"/>
  <c r="D208" i="3"/>
  <c r="D222" i="3"/>
  <c r="D220" i="3"/>
  <c r="D218" i="3"/>
  <c r="D216" i="3"/>
  <c r="D177" i="3"/>
  <c r="D194" i="3"/>
  <c r="D192" i="3"/>
  <c r="D190" i="3"/>
  <c r="D200" i="3"/>
  <c r="D198" i="3"/>
  <c r="D205" i="3"/>
  <c r="D214" i="3"/>
  <c r="B224" i="3"/>
  <c r="B225" i="3"/>
  <c r="B226" i="3"/>
  <c r="B227" i="3"/>
  <c r="B228" i="3"/>
  <c r="H227" i="3" l="1"/>
  <c r="I227" i="3"/>
  <c r="C227" i="3"/>
  <c r="G227" i="3"/>
  <c r="I228" i="3"/>
  <c r="G228" i="3"/>
  <c r="C228" i="3"/>
  <c r="H228" i="3"/>
  <c r="D226" i="3"/>
  <c r="I226" i="3"/>
  <c r="G226" i="3"/>
  <c r="C226" i="3"/>
  <c r="H226" i="3"/>
  <c r="I224" i="3"/>
  <c r="G224" i="3"/>
  <c r="C224" i="3"/>
  <c r="H224" i="3"/>
  <c r="H225" i="3"/>
  <c r="G225" i="3"/>
  <c r="I225" i="3"/>
  <c r="C225" i="3"/>
  <c r="D227" i="3"/>
  <c r="D225" i="3"/>
  <c r="D228" i="3"/>
  <c r="D224" i="3"/>
  <c r="K219" i="4"/>
  <c r="K220" i="4"/>
  <c r="K221" i="4"/>
  <c r="K222" i="4"/>
  <c r="K223" i="4"/>
  <c r="K224" i="4"/>
  <c r="B220" i="4" l="1"/>
  <c r="B221" i="4"/>
  <c r="B222" i="4"/>
  <c r="B178" i="4"/>
  <c r="K178" i="4"/>
  <c r="B179" i="4"/>
  <c r="K179" i="4"/>
  <c r="B180" i="4"/>
  <c r="K180" i="4"/>
  <c r="B181" i="4"/>
  <c r="K181" i="4"/>
  <c r="B182" i="4"/>
  <c r="K182" i="4"/>
  <c r="B183" i="4"/>
  <c r="K183" i="4"/>
  <c r="B184" i="4"/>
  <c r="K184" i="4"/>
  <c r="B185" i="4"/>
  <c r="K185" i="4"/>
  <c r="B186" i="4"/>
  <c r="K186" i="4"/>
  <c r="B187" i="4"/>
  <c r="K187" i="4"/>
  <c r="B167" i="4"/>
  <c r="K167" i="4"/>
  <c r="B168" i="4"/>
  <c r="K168" i="4"/>
  <c r="B169" i="4"/>
  <c r="K169" i="4"/>
  <c r="B170" i="4"/>
  <c r="K170" i="4"/>
  <c r="B171" i="4"/>
  <c r="K171" i="4"/>
  <c r="B172" i="4"/>
  <c r="K172" i="4"/>
  <c r="B173" i="4"/>
  <c r="K173" i="4"/>
  <c r="B174" i="4"/>
  <c r="K174" i="4"/>
  <c r="B175" i="4"/>
  <c r="K175" i="4"/>
  <c r="B176" i="4"/>
  <c r="K176" i="4"/>
  <c r="H176" i="4" l="1"/>
  <c r="I176" i="4"/>
  <c r="C176" i="4"/>
  <c r="G176" i="4"/>
  <c r="H174" i="4"/>
  <c r="I174" i="4"/>
  <c r="C174" i="4"/>
  <c r="G174" i="4"/>
  <c r="H172" i="4"/>
  <c r="I172" i="4"/>
  <c r="C172" i="4"/>
  <c r="G172" i="4"/>
  <c r="H170" i="4"/>
  <c r="I170" i="4"/>
  <c r="C170" i="4"/>
  <c r="G170" i="4"/>
  <c r="H168" i="4"/>
  <c r="I168" i="4"/>
  <c r="C168" i="4"/>
  <c r="G168" i="4"/>
  <c r="H187" i="4"/>
  <c r="G187" i="4"/>
  <c r="C187" i="4"/>
  <c r="I187" i="4"/>
  <c r="H185" i="4"/>
  <c r="G185" i="4"/>
  <c r="I185" i="4"/>
  <c r="C185" i="4"/>
  <c r="H184" i="4"/>
  <c r="I184" i="4"/>
  <c r="C184" i="4"/>
  <c r="G184" i="4"/>
  <c r="H182" i="4"/>
  <c r="I182" i="4"/>
  <c r="C182" i="4"/>
  <c r="G182" i="4"/>
  <c r="H180" i="4"/>
  <c r="I180" i="4"/>
  <c r="C180" i="4"/>
  <c r="G180" i="4"/>
  <c r="H179" i="4"/>
  <c r="G179" i="4"/>
  <c r="C179" i="4"/>
  <c r="I179" i="4"/>
  <c r="H178" i="4"/>
  <c r="I178" i="4"/>
  <c r="C178" i="4"/>
  <c r="G178" i="4"/>
  <c r="D221" i="4"/>
  <c r="I221" i="4"/>
  <c r="G221" i="4"/>
  <c r="C221" i="4"/>
  <c r="H221" i="4"/>
  <c r="H175" i="4"/>
  <c r="G175" i="4"/>
  <c r="C175" i="4"/>
  <c r="I175" i="4"/>
  <c r="H173" i="4"/>
  <c r="G173" i="4"/>
  <c r="I173" i="4"/>
  <c r="C173" i="4"/>
  <c r="H171" i="4"/>
  <c r="G171" i="4"/>
  <c r="C171" i="4"/>
  <c r="I171" i="4"/>
  <c r="H169" i="4"/>
  <c r="G169" i="4"/>
  <c r="I169" i="4"/>
  <c r="C169" i="4"/>
  <c r="H167" i="4"/>
  <c r="G167" i="4"/>
  <c r="C167" i="4"/>
  <c r="I167" i="4"/>
  <c r="H186" i="4"/>
  <c r="I186" i="4"/>
  <c r="C186" i="4"/>
  <c r="G186" i="4"/>
  <c r="H183" i="4"/>
  <c r="G183" i="4"/>
  <c r="C183" i="4"/>
  <c r="I183" i="4"/>
  <c r="H181" i="4"/>
  <c r="G181" i="4"/>
  <c r="I181" i="4"/>
  <c r="C181" i="4"/>
  <c r="D222" i="4"/>
  <c r="I222" i="4"/>
  <c r="G222" i="4"/>
  <c r="C222" i="4"/>
  <c r="H222" i="4"/>
  <c r="D220" i="4"/>
  <c r="I220" i="4"/>
  <c r="G220" i="4"/>
  <c r="C220" i="4"/>
  <c r="H220" i="4"/>
  <c r="D178" i="4"/>
  <c r="D186" i="4"/>
  <c r="F222" i="4"/>
  <c r="F221" i="4"/>
  <c r="F220" i="4"/>
  <c r="D175" i="4"/>
  <c r="F178" i="4"/>
  <c r="D171" i="4"/>
  <c r="F186" i="4"/>
  <c r="D185" i="4"/>
  <c r="D184" i="4"/>
  <c r="D182" i="4"/>
  <c r="F171" i="4"/>
  <c r="D170" i="4"/>
  <c r="D169" i="4"/>
  <c r="D167" i="4"/>
  <c r="F182" i="4"/>
  <c r="D181" i="4"/>
  <c r="D180" i="4"/>
  <c r="F175" i="4"/>
  <c r="D174" i="4"/>
  <c r="D173" i="4"/>
  <c r="F167" i="4"/>
  <c r="D187" i="4"/>
  <c r="F184" i="4"/>
  <c r="D183" i="4"/>
  <c r="F180" i="4"/>
  <c r="D179" i="4"/>
  <c r="D176" i="4"/>
  <c r="F173" i="4"/>
  <c r="D172" i="4"/>
  <c r="F169" i="4"/>
  <c r="F187" i="4"/>
  <c r="F185" i="4"/>
  <c r="F183" i="4"/>
  <c r="F181" i="4"/>
  <c r="F179" i="4"/>
  <c r="D168" i="4"/>
  <c r="F176" i="4"/>
  <c r="F174" i="4"/>
  <c r="F172" i="4"/>
  <c r="F170" i="4"/>
  <c r="F168" i="4"/>
  <c r="B165" i="4" l="1"/>
  <c r="B189" i="4"/>
  <c r="B190" i="4"/>
  <c r="B191" i="4"/>
  <c r="B192" i="4"/>
  <c r="B193" i="4"/>
  <c r="B194" i="4"/>
  <c r="B195" i="4"/>
  <c r="D165" i="4"/>
  <c r="D189" i="4"/>
  <c r="D190" i="4"/>
  <c r="D191" i="4"/>
  <c r="D192" i="4"/>
  <c r="D193" i="4"/>
  <c r="D194" i="4"/>
  <c r="D195" i="4"/>
  <c r="K165" i="4"/>
  <c r="K166" i="4"/>
  <c r="K177" i="4"/>
  <c r="K188" i="4"/>
  <c r="K189" i="4"/>
  <c r="K190" i="4"/>
  <c r="K191" i="4"/>
  <c r="K192" i="4"/>
  <c r="K193" i="4"/>
  <c r="K194" i="4"/>
  <c r="K195" i="4"/>
  <c r="H195" i="4" l="1"/>
  <c r="G195" i="4"/>
  <c r="C195" i="4"/>
  <c r="I195" i="4"/>
  <c r="H193" i="4"/>
  <c r="G193" i="4"/>
  <c r="I193" i="4"/>
  <c r="C193" i="4"/>
  <c r="H191" i="4"/>
  <c r="G191" i="4"/>
  <c r="C191" i="4"/>
  <c r="I191" i="4"/>
  <c r="H189" i="4"/>
  <c r="G189" i="4"/>
  <c r="I189" i="4"/>
  <c r="C189" i="4"/>
  <c r="H194" i="4"/>
  <c r="I194" i="4"/>
  <c r="C194" i="4"/>
  <c r="G194" i="4"/>
  <c r="H192" i="4"/>
  <c r="I192" i="4"/>
  <c r="F192" i="4" s="1"/>
  <c r="C192" i="4"/>
  <c r="G192" i="4"/>
  <c r="H190" i="4"/>
  <c r="I190" i="4"/>
  <c r="F190" i="4" s="1"/>
  <c r="C190" i="4"/>
  <c r="G190" i="4"/>
  <c r="H165" i="4"/>
  <c r="G165" i="4"/>
  <c r="I165" i="4"/>
  <c r="F165" i="4" s="1"/>
  <c r="C165" i="4"/>
  <c r="F194" i="4"/>
  <c r="F195" i="4"/>
  <c r="F193" i="4"/>
  <c r="F191" i="4"/>
  <c r="F189" i="4"/>
  <c r="B171" i="3" l="1"/>
  <c r="B172" i="3"/>
  <c r="B173" i="3"/>
  <c r="B159" i="3"/>
  <c r="B160" i="3"/>
  <c r="B161" i="3"/>
  <c r="B162" i="3"/>
  <c r="B163" i="3"/>
  <c r="B164" i="3"/>
  <c r="B165" i="3"/>
  <c r="B166" i="3"/>
  <c r="B167" i="3"/>
  <c r="B168" i="3"/>
  <c r="B169" i="3"/>
  <c r="B157" i="3"/>
  <c r="B135" i="3"/>
  <c r="B136" i="3"/>
  <c r="B137" i="3"/>
  <c r="B138" i="3"/>
  <c r="B139" i="3"/>
  <c r="B140" i="3"/>
  <c r="B141" i="3"/>
  <c r="B142" i="3"/>
  <c r="B143" i="3"/>
  <c r="B144" i="3"/>
  <c r="B145" i="3"/>
  <c r="B133" i="3"/>
  <c r="B147" i="3"/>
  <c r="B148" i="3"/>
  <c r="B149" i="3"/>
  <c r="B150" i="3"/>
  <c r="B151" i="3"/>
  <c r="B152" i="3"/>
  <c r="B153" i="3"/>
  <c r="B154" i="3"/>
  <c r="B155" i="3"/>
  <c r="B156" i="3"/>
  <c r="B175" i="3"/>
  <c r="B230" i="3"/>
  <c r="B231" i="3"/>
  <c r="B232" i="3"/>
  <c r="B233" i="3"/>
  <c r="B234" i="3"/>
  <c r="B236" i="3"/>
  <c r="B237" i="3"/>
  <c r="B238" i="3"/>
  <c r="B239" i="3"/>
  <c r="B240" i="3"/>
  <c r="B241" i="3"/>
  <c r="B242" i="3"/>
  <c r="B244" i="3"/>
  <c r="D150" i="3"/>
  <c r="D154" i="3"/>
  <c r="K218" i="4"/>
  <c r="K217" i="4"/>
  <c r="K216" i="4"/>
  <c r="K215" i="4"/>
  <c r="B207" i="4"/>
  <c r="K207" i="4"/>
  <c r="B208" i="4"/>
  <c r="K208" i="4"/>
  <c r="B209" i="4"/>
  <c r="K209" i="4"/>
  <c r="B210" i="4"/>
  <c r="K210" i="4"/>
  <c r="B211" i="4"/>
  <c r="K211" i="4"/>
  <c r="B212" i="4"/>
  <c r="K212" i="4"/>
  <c r="B213" i="4"/>
  <c r="K213" i="4"/>
  <c r="K214" i="4"/>
  <c r="I211" i="4" l="1"/>
  <c r="G211" i="4"/>
  <c r="C211" i="4"/>
  <c r="H211" i="4"/>
  <c r="I208" i="4"/>
  <c r="G208" i="4"/>
  <c r="C208" i="4"/>
  <c r="H208" i="4"/>
  <c r="I240" i="3"/>
  <c r="G240" i="3"/>
  <c r="C240" i="3"/>
  <c r="H240" i="3"/>
  <c r="I238" i="3"/>
  <c r="G238" i="3"/>
  <c r="C238" i="3"/>
  <c r="H238" i="3"/>
  <c r="I236" i="3"/>
  <c r="G236" i="3"/>
  <c r="C236" i="3"/>
  <c r="H236" i="3"/>
  <c r="H233" i="3"/>
  <c r="G233" i="3"/>
  <c r="I233" i="3"/>
  <c r="C233" i="3"/>
  <c r="H231" i="3"/>
  <c r="I231" i="3"/>
  <c r="C231" i="3"/>
  <c r="G231" i="3"/>
  <c r="H175" i="3"/>
  <c r="I175" i="3"/>
  <c r="C175" i="3"/>
  <c r="G175" i="3"/>
  <c r="H155" i="3"/>
  <c r="I155" i="3"/>
  <c r="C155" i="3"/>
  <c r="G155" i="3"/>
  <c r="H153" i="3"/>
  <c r="G153" i="3"/>
  <c r="I153" i="3"/>
  <c r="C153" i="3"/>
  <c r="H151" i="3"/>
  <c r="I151" i="3"/>
  <c r="C151" i="3"/>
  <c r="G151" i="3"/>
  <c r="H149" i="3"/>
  <c r="G149" i="3"/>
  <c r="C149" i="3"/>
  <c r="I149" i="3"/>
  <c r="H147" i="3"/>
  <c r="I147" i="3"/>
  <c r="C147" i="3"/>
  <c r="G147" i="3"/>
  <c r="H145" i="3"/>
  <c r="G145" i="3"/>
  <c r="I145" i="3"/>
  <c r="C145" i="3"/>
  <c r="H143" i="3"/>
  <c r="I143" i="3"/>
  <c r="C143" i="3"/>
  <c r="G143" i="3"/>
  <c r="H141" i="3"/>
  <c r="G141" i="3"/>
  <c r="I141" i="3"/>
  <c r="C141" i="3"/>
  <c r="I139" i="3"/>
  <c r="G139" i="3"/>
  <c r="C139" i="3"/>
  <c r="H139" i="3"/>
  <c r="I137" i="3"/>
  <c r="G137" i="3"/>
  <c r="C137" i="3"/>
  <c r="H137" i="3"/>
  <c r="I135" i="3"/>
  <c r="G135" i="3"/>
  <c r="C135" i="3"/>
  <c r="H135" i="3"/>
  <c r="H169" i="3"/>
  <c r="G169" i="3"/>
  <c r="I169" i="3"/>
  <c r="C169" i="3"/>
  <c r="H167" i="3"/>
  <c r="I167" i="3"/>
  <c r="C167" i="3"/>
  <c r="G167" i="3"/>
  <c r="H165" i="3"/>
  <c r="G165" i="3"/>
  <c r="C165" i="3"/>
  <c r="I165" i="3"/>
  <c r="H163" i="3"/>
  <c r="I163" i="3"/>
  <c r="C163" i="3"/>
  <c r="G163" i="3"/>
  <c r="H161" i="3"/>
  <c r="G161" i="3"/>
  <c r="I161" i="3"/>
  <c r="C161" i="3"/>
  <c r="H159" i="3"/>
  <c r="I159" i="3"/>
  <c r="C159" i="3"/>
  <c r="G159" i="3"/>
  <c r="I172" i="3"/>
  <c r="G172" i="3"/>
  <c r="C172" i="3"/>
  <c r="H172" i="3"/>
  <c r="I213" i="4"/>
  <c r="G213" i="4"/>
  <c r="C213" i="4"/>
  <c r="H213" i="4"/>
  <c r="I212" i="4"/>
  <c r="G212" i="4"/>
  <c r="C212" i="4"/>
  <c r="H212" i="4"/>
  <c r="I210" i="4"/>
  <c r="G210" i="4"/>
  <c r="C210" i="4"/>
  <c r="H210" i="4"/>
  <c r="I209" i="4"/>
  <c r="G209" i="4"/>
  <c r="C209" i="4"/>
  <c r="H209" i="4"/>
  <c r="I207" i="4"/>
  <c r="G207" i="4"/>
  <c r="C207" i="4"/>
  <c r="H207" i="4"/>
  <c r="I242" i="3"/>
  <c r="G242" i="3"/>
  <c r="C242" i="3"/>
  <c r="H242" i="3"/>
  <c r="I244" i="3"/>
  <c r="G244" i="3"/>
  <c r="C244" i="3"/>
  <c r="H244" i="3"/>
  <c r="H241" i="3"/>
  <c r="G241" i="3"/>
  <c r="I241" i="3"/>
  <c r="C241" i="3"/>
  <c r="H239" i="3"/>
  <c r="I239" i="3"/>
  <c r="C239" i="3"/>
  <c r="G239" i="3"/>
  <c r="H237" i="3"/>
  <c r="G237" i="3"/>
  <c r="I237" i="3"/>
  <c r="C237" i="3"/>
  <c r="I234" i="3"/>
  <c r="G234" i="3"/>
  <c r="C234" i="3"/>
  <c r="H234" i="3"/>
  <c r="I232" i="3"/>
  <c r="G232" i="3"/>
  <c r="C232" i="3"/>
  <c r="H232" i="3"/>
  <c r="D230" i="3"/>
  <c r="I230" i="3"/>
  <c r="G230" i="3"/>
  <c r="C230" i="3"/>
  <c r="H230" i="3"/>
  <c r="I156" i="3"/>
  <c r="G156" i="3"/>
  <c r="C156" i="3"/>
  <c r="H156" i="3"/>
  <c r="I154" i="3"/>
  <c r="G154" i="3"/>
  <c r="C154" i="3"/>
  <c r="H154" i="3"/>
  <c r="I152" i="3"/>
  <c r="G152" i="3"/>
  <c r="C152" i="3"/>
  <c r="H152" i="3"/>
  <c r="I150" i="3"/>
  <c r="G150" i="3"/>
  <c r="C150" i="3"/>
  <c r="H150" i="3"/>
  <c r="I148" i="3"/>
  <c r="G148" i="3"/>
  <c r="C148" i="3"/>
  <c r="H148" i="3"/>
  <c r="I133" i="3"/>
  <c r="G133" i="3"/>
  <c r="C133" i="3"/>
  <c r="H133" i="3"/>
  <c r="I144" i="3"/>
  <c r="G144" i="3"/>
  <c r="C144" i="3"/>
  <c r="H144" i="3"/>
  <c r="I142" i="3"/>
  <c r="G142" i="3"/>
  <c r="C142" i="3"/>
  <c r="H142" i="3"/>
  <c r="I140" i="3"/>
  <c r="G140" i="3"/>
  <c r="C140" i="3"/>
  <c r="H140" i="3"/>
  <c r="H138" i="3"/>
  <c r="I138" i="3"/>
  <c r="G138" i="3"/>
  <c r="C138" i="3"/>
  <c r="H136" i="3"/>
  <c r="I136" i="3"/>
  <c r="G136" i="3"/>
  <c r="C136" i="3"/>
  <c r="H157" i="3"/>
  <c r="G157" i="3"/>
  <c r="C157" i="3"/>
  <c r="I157" i="3"/>
  <c r="I168" i="3"/>
  <c r="G168" i="3"/>
  <c r="C168" i="3"/>
  <c r="H168" i="3"/>
  <c r="I166" i="3"/>
  <c r="G166" i="3"/>
  <c r="C166" i="3"/>
  <c r="H166" i="3"/>
  <c r="I164" i="3"/>
  <c r="G164" i="3"/>
  <c r="C164" i="3"/>
  <c r="H164" i="3"/>
  <c r="I162" i="3"/>
  <c r="G162" i="3"/>
  <c r="C162" i="3"/>
  <c r="H162" i="3"/>
  <c r="I160" i="3"/>
  <c r="G160" i="3"/>
  <c r="C160" i="3"/>
  <c r="H160" i="3"/>
  <c r="H173" i="3"/>
  <c r="G173" i="3"/>
  <c r="C173" i="3"/>
  <c r="I173" i="3"/>
  <c r="H171" i="3"/>
  <c r="I171" i="3"/>
  <c r="C171" i="3"/>
  <c r="G171" i="3"/>
  <c r="D244" i="3"/>
  <c r="D156" i="3"/>
  <c r="D152" i="3"/>
  <c r="D148" i="3"/>
  <c r="D237" i="3"/>
  <c r="D241" i="3"/>
  <c r="D233" i="3"/>
  <c r="D239" i="3"/>
  <c r="D231" i="3"/>
  <c r="D242" i="3"/>
  <c r="D240" i="3"/>
  <c r="D238" i="3"/>
  <c r="D236" i="3"/>
  <c r="D234" i="3"/>
  <c r="D232" i="3"/>
  <c r="D175" i="3"/>
  <c r="D155" i="3"/>
  <c r="D153" i="3"/>
  <c r="D151" i="3"/>
  <c r="D149" i="3"/>
  <c r="D147" i="3"/>
  <c r="D166" i="3"/>
  <c r="D162" i="3"/>
  <c r="D173" i="3"/>
  <c r="D168" i="3"/>
  <c r="D164" i="3"/>
  <c r="D160" i="3"/>
  <c r="D171" i="3"/>
  <c r="D143" i="3"/>
  <c r="D139" i="3"/>
  <c r="D135" i="3"/>
  <c r="D167" i="3"/>
  <c r="D165" i="3"/>
  <c r="D163" i="3"/>
  <c r="D161" i="3"/>
  <c r="D159" i="3"/>
  <c r="D172" i="3"/>
  <c r="D141" i="3"/>
  <c r="D137" i="3"/>
  <c r="D169" i="3"/>
  <c r="D144" i="3"/>
  <c r="D142" i="3"/>
  <c r="D140" i="3"/>
  <c r="D138" i="3"/>
  <c r="D136" i="3"/>
  <c r="D157" i="3"/>
  <c r="D145" i="3"/>
  <c r="D133" i="3"/>
  <c r="D213" i="4"/>
  <c r="D209" i="4"/>
  <c r="F209" i="4"/>
  <c r="D208" i="4"/>
  <c r="D207" i="4"/>
  <c r="F213" i="4"/>
  <c r="D212" i="4"/>
  <c r="D211" i="4"/>
  <c r="F211" i="4"/>
  <c r="D210" i="4"/>
  <c r="F207" i="4"/>
  <c r="F212" i="4"/>
  <c r="F210" i="4"/>
  <c r="F208" i="4"/>
  <c r="K206" i="4" l="1"/>
  <c r="K205" i="4"/>
  <c r="K204" i="4"/>
  <c r="B197" i="4"/>
  <c r="K197" i="4"/>
  <c r="B198" i="4"/>
  <c r="K198" i="4"/>
  <c r="B199" i="4"/>
  <c r="K199" i="4"/>
  <c r="B200" i="4"/>
  <c r="K200" i="4"/>
  <c r="B201" i="4"/>
  <c r="K201" i="4"/>
  <c r="B120" i="3"/>
  <c r="B121" i="3"/>
  <c r="B122" i="3"/>
  <c r="B123" i="3"/>
  <c r="B124" i="3"/>
  <c r="B125" i="3"/>
  <c r="B126" i="3"/>
  <c r="B108" i="3"/>
  <c r="B109" i="3"/>
  <c r="B110" i="3"/>
  <c r="B111" i="3"/>
  <c r="B112" i="3"/>
  <c r="B113" i="3"/>
  <c r="B114" i="3"/>
  <c r="B115" i="3"/>
  <c r="B116" i="3"/>
  <c r="B117" i="3"/>
  <c r="B118" i="3"/>
  <c r="B103" i="3"/>
  <c r="B104" i="3"/>
  <c r="B105" i="3"/>
  <c r="B106" i="3"/>
  <c r="H103" i="3" l="1"/>
  <c r="G103" i="3"/>
  <c r="I103" i="3"/>
  <c r="C103" i="3"/>
  <c r="H115" i="3"/>
  <c r="G115" i="3"/>
  <c r="I115" i="3"/>
  <c r="C115" i="3"/>
  <c r="H109" i="3"/>
  <c r="I109" i="3"/>
  <c r="C109" i="3"/>
  <c r="G109" i="3"/>
  <c r="H126" i="3"/>
  <c r="I126" i="3"/>
  <c r="G126" i="3"/>
  <c r="C126" i="3"/>
  <c r="I124" i="3"/>
  <c r="G124" i="3"/>
  <c r="C124" i="3"/>
  <c r="H124" i="3"/>
  <c r="I122" i="3"/>
  <c r="G122" i="3"/>
  <c r="C122" i="3"/>
  <c r="H122" i="3"/>
  <c r="I120" i="3"/>
  <c r="G120" i="3"/>
  <c r="C120" i="3"/>
  <c r="H120" i="3"/>
  <c r="I201" i="4"/>
  <c r="G201" i="4"/>
  <c r="C201" i="4"/>
  <c r="H201" i="4"/>
  <c r="I200" i="4"/>
  <c r="G200" i="4"/>
  <c r="C200" i="4"/>
  <c r="H200" i="4"/>
  <c r="I199" i="4"/>
  <c r="H199" i="4"/>
  <c r="G199" i="4"/>
  <c r="C199" i="4"/>
  <c r="H198" i="4"/>
  <c r="I198" i="4"/>
  <c r="C198" i="4"/>
  <c r="G198" i="4"/>
  <c r="H197" i="4"/>
  <c r="G197" i="4"/>
  <c r="I197" i="4"/>
  <c r="C197" i="4"/>
  <c r="H105" i="3"/>
  <c r="I105" i="3"/>
  <c r="C105" i="3"/>
  <c r="G105" i="3"/>
  <c r="H117" i="3"/>
  <c r="I117" i="3"/>
  <c r="C117" i="3"/>
  <c r="G117" i="3"/>
  <c r="H113" i="3"/>
  <c r="I113" i="3"/>
  <c r="C113" i="3"/>
  <c r="G113" i="3"/>
  <c r="H111" i="3"/>
  <c r="G111" i="3"/>
  <c r="I111" i="3"/>
  <c r="C111" i="3"/>
  <c r="I106" i="3"/>
  <c r="G106" i="3"/>
  <c r="C106" i="3"/>
  <c r="H106" i="3"/>
  <c r="I104" i="3"/>
  <c r="G104" i="3"/>
  <c r="C104" i="3"/>
  <c r="H104" i="3"/>
  <c r="I118" i="3"/>
  <c r="G118" i="3"/>
  <c r="C118" i="3"/>
  <c r="H118" i="3"/>
  <c r="I116" i="3"/>
  <c r="G116" i="3"/>
  <c r="C116" i="3"/>
  <c r="H116" i="3"/>
  <c r="I114" i="3"/>
  <c r="G114" i="3"/>
  <c r="C114" i="3"/>
  <c r="H114" i="3"/>
  <c r="I112" i="3"/>
  <c r="G112" i="3"/>
  <c r="C112" i="3"/>
  <c r="H112" i="3"/>
  <c r="I110" i="3"/>
  <c r="G110" i="3"/>
  <c r="C110" i="3"/>
  <c r="H110" i="3"/>
  <c r="I108" i="3"/>
  <c r="G108" i="3"/>
  <c r="C108" i="3"/>
  <c r="H108" i="3"/>
  <c r="H125" i="3"/>
  <c r="I125" i="3"/>
  <c r="C125" i="3"/>
  <c r="G125" i="3"/>
  <c r="H123" i="3"/>
  <c r="G123" i="3"/>
  <c r="I123" i="3"/>
  <c r="C123" i="3"/>
  <c r="H121" i="3"/>
  <c r="I121" i="3"/>
  <c r="C121" i="3"/>
  <c r="G121" i="3"/>
  <c r="D117" i="3"/>
  <c r="D113" i="3"/>
  <c r="D109" i="3"/>
  <c r="D124" i="3"/>
  <c r="D120" i="3"/>
  <c r="D200" i="4"/>
  <c r="D115" i="3"/>
  <c r="D111" i="3"/>
  <c r="D126" i="3"/>
  <c r="D122" i="3"/>
  <c r="F200" i="4"/>
  <c r="D199" i="4"/>
  <c r="D198" i="4"/>
  <c r="D116" i="3"/>
  <c r="D114" i="3"/>
  <c r="D112" i="3"/>
  <c r="D110" i="3"/>
  <c r="D108" i="3"/>
  <c r="D125" i="3"/>
  <c r="D123" i="3"/>
  <c r="D121" i="3"/>
  <c r="D118" i="3"/>
  <c r="D201" i="4"/>
  <c r="F198" i="4"/>
  <c r="D197" i="4"/>
  <c r="D106" i="3"/>
  <c r="D104" i="3"/>
  <c r="F201" i="4"/>
  <c r="F199" i="4"/>
  <c r="F197" i="4"/>
  <c r="D105" i="3"/>
  <c r="D103" i="3"/>
  <c r="B4" i="8"/>
  <c r="I4" i="8" l="1"/>
  <c r="G4" i="8"/>
  <c r="C4" i="8"/>
  <c r="H4" i="8"/>
  <c r="F4" i="8"/>
  <c r="D4" i="8"/>
  <c r="B96" i="4"/>
  <c r="K96" i="4"/>
  <c r="B85" i="4"/>
  <c r="K85" i="4"/>
  <c r="B86" i="4"/>
  <c r="K86" i="4"/>
  <c r="B87" i="4"/>
  <c r="K87" i="4"/>
  <c r="B88" i="4"/>
  <c r="K88" i="4"/>
  <c r="B89" i="4"/>
  <c r="K89" i="4"/>
  <c r="B90" i="4"/>
  <c r="K90" i="4"/>
  <c r="B91" i="4"/>
  <c r="K91" i="4"/>
  <c r="B92" i="4"/>
  <c r="K92" i="4"/>
  <c r="B93" i="4"/>
  <c r="K93" i="4"/>
  <c r="B94" i="4"/>
  <c r="K94" i="4"/>
  <c r="B83" i="4"/>
  <c r="K83" i="4"/>
  <c r="B74" i="4"/>
  <c r="K74" i="4"/>
  <c r="B75" i="4"/>
  <c r="K75" i="4"/>
  <c r="B76" i="4"/>
  <c r="K76" i="4"/>
  <c r="B77" i="4"/>
  <c r="K77" i="4"/>
  <c r="B78" i="4"/>
  <c r="K78" i="4"/>
  <c r="B79" i="4"/>
  <c r="K79" i="4"/>
  <c r="B80" i="4"/>
  <c r="K80" i="4"/>
  <c r="B81" i="4"/>
  <c r="K81" i="4"/>
  <c r="B97" i="4"/>
  <c r="K97" i="4"/>
  <c r="B72" i="4"/>
  <c r="K72" i="4"/>
  <c r="K73" i="4"/>
  <c r="K82" i="4"/>
  <c r="K84" i="4"/>
  <c r="I97" i="4" l="1"/>
  <c r="G97" i="4"/>
  <c r="C97" i="4"/>
  <c r="H97" i="4"/>
  <c r="I81" i="4"/>
  <c r="G81" i="4"/>
  <c r="C81" i="4"/>
  <c r="H81" i="4"/>
  <c r="I79" i="4"/>
  <c r="G79" i="4"/>
  <c r="C79" i="4"/>
  <c r="H79" i="4"/>
  <c r="I77" i="4"/>
  <c r="G77" i="4"/>
  <c r="C77" i="4"/>
  <c r="H77" i="4"/>
  <c r="I75" i="4"/>
  <c r="G75" i="4"/>
  <c r="C75" i="4"/>
  <c r="H75" i="4"/>
  <c r="I83" i="4"/>
  <c r="G83" i="4"/>
  <c r="C83" i="4"/>
  <c r="H83" i="4"/>
  <c r="I93" i="4"/>
  <c r="G93" i="4"/>
  <c r="C93" i="4"/>
  <c r="H93" i="4"/>
  <c r="I91" i="4"/>
  <c r="G91" i="4"/>
  <c r="C91" i="4"/>
  <c r="H91" i="4"/>
  <c r="I72" i="4"/>
  <c r="G72" i="4"/>
  <c r="C72" i="4"/>
  <c r="H72" i="4"/>
  <c r="I80" i="4"/>
  <c r="G80" i="4"/>
  <c r="C80" i="4"/>
  <c r="H80" i="4"/>
  <c r="I78" i="4"/>
  <c r="G78" i="4"/>
  <c r="C78" i="4"/>
  <c r="H78" i="4"/>
  <c r="I76" i="4"/>
  <c r="G76" i="4"/>
  <c r="C76" i="4"/>
  <c r="H76" i="4"/>
  <c r="I74" i="4"/>
  <c r="G74" i="4"/>
  <c r="C74" i="4"/>
  <c r="H74" i="4"/>
  <c r="I94" i="4"/>
  <c r="G94" i="4"/>
  <c r="C94" i="4"/>
  <c r="H94" i="4"/>
  <c r="I92" i="4"/>
  <c r="G92" i="4"/>
  <c r="C92" i="4"/>
  <c r="H92" i="4"/>
  <c r="I90" i="4"/>
  <c r="G90" i="4"/>
  <c r="C90" i="4"/>
  <c r="H90" i="4"/>
  <c r="I89" i="4"/>
  <c r="G89" i="4"/>
  <c r="C89" i="4"/>
  <c r="H89" i="4"/>
  <c r="I88" i="4"/>
  <c r="G88" i="4"/>
  <c r="C88" i="4"/>
  <c r="H88" i="4"/>
  <c r="I87" i="4"/>
  <c r="G87" i="4"/>
  <c r="C87" i="4"/>
  <c r="H87" i="4"/>
  <c r="I86" i="4"/>
  <c r="G86" i="4"/>
  <c r="C86" i="4"/>
  <c r="H86" i="4"/>
  <c r="I85" i="4"/>
  <c r="G85" i="4"/>
  <c r="C85" i="4"/>
  <c r="H85" i="4"/>
  <c r="I96" i="4"/>
  <c r="G96" i="4"/>
  <c r="C96" i="4"/>
  <c r="H96" i="4"/>
  <c r="D80" i="4"/>
  <c r="D74" i="4"/>
  <c r="D83" i="4"/>
  <c r="D94" i="4"/>
  <c r="D76" i="4"/>
  <c r="F76" i="4"/>
  <c r="D75" i="4"/>
  <c r="D97" i="4"/>
  <c r="F91" i="4"/>
  <c r="D91" i="4"/>
  <c r="F89" i="4"/>
  <c r="D89" i="4"/>
  <c r="F87" i="4"/>
  <c r="D87" i="4"/>
  <c r="F85" i="4"/>
  <c r="D85" i="4"/>
  <c r="D96" i="4"/>
  <c r="F80" i="4"/>
  <c r="D79" i="4"/>
  <c r="D78" i="4"/>
  <c r="F94" i="4"/>
  <c r="D93" i="4"/>
  <c r="D92" i="4"/>
  <c r="F90" i="4"/>
  <c r="D90" i="4"/>
  <c r="F88" i="4"/>
  <c r="D88" i="4"/>
  <c r="F86" i="4"/>
  <c r="D86" i="4"/>
  <c r="F96" i="4"/>
  <c r="F83" i="4"/>
  <c r="F92" i="4"/>
  <c r="F97" i="4"/>
  <c r="D81" i="4"/>
  <c r="F78" i="4"/>
  <c r="D77" i="4"/>
  <c r="F74" i="4"/>
  <c r="F93" i="4"/>
  <c r="D72" i="4"/>
  <c r="F81" i="4"/>
  <c r="F79" i="4"/>
  <c r="F77" i="4"/>
  <c r="F75" i="4"/>
  <c r="F72" i="4"/>
  <c r="B161" i="4"/>
  <c r="K161" i="4"/>
  <c r="K203" i="4"/>
  <c r="K202" i="4"/>
  <c r="K196" i="4"/>
  <c r="K164" i="4"/>
  <c r="K163" i="4"/>
  <c r="B150" i="4"/>
  <c r="K150" i="4"/>
  <c r="B151" i="4"/>
  <c r="K151" i="4"/>
  <c r="B152" i="4"/>
  <c r="K152" i="4"/>
  <c r="B153" i="4"/>
  <c r="K153" i="4"/>
  <c r="B154" i="4"/>
  <c r="K154" i="4"/>
  <c r="B155" i="4"/>
  <c r="K155" i="4"/>
  <c r="B156" i="4"/>
  <c r="K156" i="4"/>
  <c r="B157" i="4"/>
  <c r="K157" i="4"/>
  <c r="B158" i="4"/>
  <c r="K158" i="4"/>
  <c r="B159" i="4"/>
  <c r="K159" i="4"/>
  <c r="K160" i="4"/>
  <c r="K162" i="4"/>
  <c r="H158" i="4" l="1"/>
  <c r="I158" i="4"/>
  <c r="C158" i="4"/>
  <c r="G158" i="4"/>
  <c r="H156" i="4"/>
  <c r="I156" i="4"/>
  <c r="C156" i="4"/>
  <c r="G156" i="4"/>
  <c r="H155" i="4"/>
  <c r="G155" i="4"/>
  <c r="C155" i="4"/>
  <c r="I155" i="4"/>
  <c r="H154" i="4"/>
  <c r="I154" i="4"/>
  <c r="C154" i="4"/>
  <c r="G154" i="4"/>
  <c r="H153" i="4"/>
  <c r="G153" i="4"/>
  <c r="I153" i="4"/>
  <c r="C153" i="4"/>
  <c r="H152" i="4"/>
  <c r="I152" i="4"/>
  <c r="C152" i="4"/>
  <c r="G152" i="4"/>
  <c r="H151" i="4"/>
  <c r="G151" i="4"/>
  <c r="C151" i="4"/>
  <c r="I151" i="4"/>
  <c r="H150" i="4"/>
  <c r="I150" i="4"/>
  <c r="C150" i="4"/>
  <c r="G150" i="4"/>
  <c r="H159" i="4"/>
  <c r="G159" i="4"/>
  <c r="C159" i="4"/>
  <c r="I159" i="4"/>
  <c r="H157" i="4"/>
  <c r="G157" i="4"/>
  <c r="I157" i="4"/>
  <c r="C157" i="4"/>
  <c r="H161" i="4"/>
  <c r="G161" i="4"/>
  <c r="I161" i="4"/>
  <c r="C161" i="4"/>
  <c r="D161" i="4"/>
  <c r="D156" i="4"/>
  <c r="F161" i="4"/>
  <c r="D152" i="4"/>
  <c r="D159" i="4"/>
  <c r="D158" i="4"/>
  <c r="F156" i="4"/>
  <c r="D155" i="4"/>
  <c r="D154" i="4"/>
  <c r="F152" i="4"/>
  <c r="D151" i="4"/>
  <c r="D150" i="4"/>
  <c r="F158" i="4"/>
  <c r="D157" i="4"/>
  <c r="F154" i="4"/>
  <c r="D153" i="4"/>
  <c r="F150" i="4"/>
  <c r="F159" i="4"/>
  <c r="F157" i="4"/>
  <c r="F155" i="4"/>
  <c r="F153" i="4"/>
  <c r="F151" i="4"/>
  <c r="K149" i="4"/>
  <c r="B148" i="4"/>
  <c r="K148" i="4"/>
  <c r="B143" i="4"/>
  <c r="K143" i="4"/>
  <c r="B144" i="4"/>
  <c r="K144" i="4"/>
  <c r="B145" i="4"/>
  <c r="K145" i="4"/>
  <c r="B146" i="4"/>
  <c r="K146" i="4"/>
  <c r="B141" i="4"/>
  <c r="K141" i="4"/>
  <c r="B129" i="4"/>
  <c r="K129" i="4"/>
  <c r="B130" i="4"/>
  <c r="K130" i="4"/>
  <c r="B131" i="4"/>
  <c r="K131" i="4"/>
  <c r="B132" i="4"/>
  <c r="K132" i="4"/>
  <c r="B133" i="4"/>
  <c r="K133" i="4"/>
  <c r="B134" i="4"/>
  <c r="K134" i="4"/>
  <c r="B135" i="4"/>
  <c r="K135" i="4"/>
  <c r="B136" i="4"/>
  <c r="K136" i="4"/>
  <c r="B137" i="4"/>
  <c r="K137" i="4"/>
  <c r="B138" i="4"/>
  <c r="K138" i="4"/>
  <c r="B139" i="4"/>
  <c r="K139" i="4"/>
  <c r="K128" i="4"/>
  <c r="K140" i="4"/>
  <c r="K142" i="4"/>
  <c r="K147" i="4"/>
  <c r="B101" i="3"/>
  <c r="B100" i="3"/>
  <c r="B98" i="3"/>
  <c r="H101" i="3" l="1"/>
  <c r="I101" i="3"/>
  <c r="C101" i="3"/>
  <c r="G101" i="3"/>
  <c r="H138" i="4"/>
  <c r="I138" i="4"/>
  <c r="F138" i="4" s="1"/>
  <c r="C138" i="4"/>
  <c r="G138" i="4"/>
  <c r="D135" i="4"/>
  <c r="H135" i="4"/>
  <c r="G135" i="4"/>
  <c r="C135" i="4"/>
  <c r="I135" i="4"/>
  <c r="D133" i="4"/>
  <c r="H133" i="4"/>
  <c r="G133" i="4"/>
  <c r="I133" i="4"/>
  <c r="C133" i="4"/>
  <c r="D131" i="4"/>
  <c r="H131" i="4"/>
  <c r="G131" i="4"/>
  <c r="C131" i="4"/>
  <c r="I131" i="4"/>
  <c r="H129" i="4"/>
  <c r="G129" i="4"/>
  <c r="I129" i="4"/>
  <c r="F129" i="4" s="1"/>
  <c r="C129" i="4"/>
  <c r="H141" i="4"/>
  <c r="G141" i="4"/>
  <c r="I141" i="4"/>
  <c r="F141" i="4" s="1"/>
  <c r="C141" i="4"/>
  <c r="H146" i="4"/>
  <c r="I146" i="4"/>
  <c r="C146" i="4"/>
  <c r="G146" i="4"/>
  <c r="H145" i="4"/>
  <c r="G145" i="4"/>
  <c r="I145" i="4"/>
  <c r="C145" i="4"/>
  <c r="H144" i="4"/>
  <c r="I144" i="4"/>
  <c r="C144" i="4"/>
  <c r="G144" i="4"/>
  <c r="H143" i="4"/>
  <c r="G143" i="4"/>
  <c r="C143" i="4"/>
  <c r="I143" i="4"/>
  <c r="H148" i="4"/>
  <c r="I148" i="4"/>
  <c r="C148" i="4"/>
  <c r="G148" i="4"/>
  <c r="I98" i="3"/>
  <c r="G98" i="3"/>
  <c r="C98" i="3"/>
  <c r="H98" i="3"/>
  <c r="D139" i="4"/>
  <c r="H139" i="4"/>
  <c r="G139" i="4"/>
  <c r="C139" i="4"/>
  <c r="I139" i="4"/>
  <c r="F139" i="4" s="1"/>
  <c r="D137" i="4"/>
  <c r="H137" i="4"/>
  <c r="G137" i="4"/>
  <c r="I137" i="4"/>
  <c r="F137" i="4" s="1"/>
  <c r="C137" i="4"/>
  <c r="H136" i="4"/>
  <c r="I136" i="4"/>
  <c r="C136" i="4"/>
  <c r="G136" i="4"/>
  <c r="H134" i="4"/>
  <c r="I134" i="4"/>
  <c r="C134" i="4"/>
  <c r="G134" i="4"/>
  <c r="H132" i="4"/>
  <c r="I132" i="4"/>
  <c r="C132" i="4"/>
  <c r="G132" i="4"/>
  <c r="H130" i="4"/>
  <c r="I130" i="4"/>
  <c r="C130" i="4"/>
  <c r="G130" i="4"/>
  <c r="I100" i="3"/>
  <c r="G100" i="3"/>
  <c r="C100" i="3"/>
  <c r="H100" i="3"/>
  <c r="D100" i="3"/>
  <c r="D98" i="3"/>
  <c r="D101" i="3"/>
  <c r="D145" i="4"/>
  <c r="F145" i="4"/>
  <c r="D144" i="4"/>
  <c r="D143" i="4"/>
  <c r="D130" i="4"/>
  <c r="D129" i="4"/>
  <c r="D141" i="4"/>
  <c r="D146" i="4"/>
  <c r="F143" i="4"/>
  <c r="D148" i="4"/>
  <c r="F130" i="4"/>
  <c r="F146" i="4"/>
  <c r="F144" i="4"/>
  <c r="F148" i="4"/>
  <c r="F136" i="4"/>
  <c r="F134" i="4"/>
  <c r="F132" i="4"/>
  <c r="D138" i="4"/>
  <c r="D136" i="4"/>
  <c r="F135" i="4"/>
  <c r="D134" i="4"/>
  <c r="F133" i="4"/>
  <c r="D132" i="4"/>
  <c r="F131" i="4"/>
  <c r="B11" i="5" l="1"/>
  <c r="B12" i="5"/>
  <c r="H12" i="5" l="1"/>
  <c r="I12" i="5"/>
  <c r="F12" i="5" s="1"/>
  <c r="C12" i="5"/>
  <c r="G12" i="5"/>
  <c r="I11" i="5"/>
  <c r="G11" i="5"/>
  <c r="C11" i="5"/>
  <c r="H11" i="5"/>
  <c r="F11" i="5"/>
  <c r="D12" i="5"/>
  <c r="D11" i="5"/>
  <c r="B9" i="5"/>
  <c r="B14" i="5"/>
  <c r="B15" i="5"/>
  <c r="B16" i="5"/>
  <c r="B17" i="5"/>
  <c r="B18" i="5"/>
  <c r="B19" i="5"/>
  <c r="B20" i="5"/>
  <c r="B21" i="5"/>
  <c r="B22" i="5"/>
  <c r="B4" i="5"/>
  <c r="B5" i="5"/>
  <c r="B6" i="5"/>
  <c r="B7" i="5"/>
  <c r="B8" i="5"/>
  <c r="B10" i="5"/>
  <c r="H10" i="5" l="1"/>
  <c r="G10" i="5"/>
  <c r="I10" i="5"/>
  <c r="C10" i="5"/>
  <c r="I7" i="5"/>
  <c r="G7" i="5"/>
  <c r="C7" i="5"/>
  <c r="H7" i="5"/>
  <c r="I5" i="5"/>
  <c r="G5" i="5"/>
  <c r="C5" i="5"/>
  <c r="H5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H14" i="5"/>
  <c r="G14" i="5"/>
  <c r="C14" i="5"/>
  <c r="I14" i="5"/>
  <c r="H8" i="5"/>
  <c r="I8" i="5"/>
  <c r="F8" i="5" s="1"/>
  <c r="C8" i="5"/>
  <c r="G8" i="5"/>
  <c r="H6" i="5"/>
  <c r="G6" i="5"/>
  <c r="C6" i="5"/>
  <c r="I6" i="5"/>
  <c r="D4" i="5"/>
  <c r="H4" i="5"/>
  <c r="I4" i="5"/>
  <c r="C4" i="5"/>
  <c r="G4" i="5"/>
  <c r="H21" i="5"/>
  <c r="I21" i="5"/>
  <c r="C21" i="5"/>
  <c r="G21" i="5"/>
  <c r="H19" i="5"/>
  <c r="G19" i="5"/>
  <c r="I19" i="5"/>
  <c r="C19" i="5"/>
  <c r="H17" i="5"/>
  <c r="I17" i="5"/>
  <c r="C17" i="5"/>
  <c r="G17" i="5"/>
  <c r="I15" i="5"/>
  <c r="G15" i="5"/>
  <c r="C15" i="5"/>
  <c r="H15" i="5"/>
  <c r="I9" i="5"/>
  <c r="F9" i="5" s="1"/>
  <c r="G9" i="5"/>
  <c r="C9" i="5"/>
  <c r="H9" i="5"/>
  <c r="D10" i="5"/>
  <c r="D8" i="5"/>
  <c r="D20" i="5"/>
  <c r="D9" i="5"/>
  <c r="D16" i="5"/>
  <c r="F6" i="5"/>
  <c r="D22" i="5"/>
  <c r="F20" i="5"/>
  <c r="D19" i="5"/>
  <c r="D18" i="5"/>
  <c r="F16" i="5"/>
  <c r="D15" i="5"/>
  <c r="D14" i="5"/>
  <c r="D5" i="5"/>
  <c r="F5" i="5"/>
  <c r="F22" i="5"/>
  <c r="D21" i="5"/>
  <c r="F18" i="5"/>
  <c r="D17" i="5"/>
  <c r="F14" i="5"/>
  <c r="D7" i="5"/>
  <c r="F21" i="5"/>
  <c r="F19" i="5"/>
  <c r="F17" i="5"/>
  <c r="F15" i="5"/>
  <c r="F10" i="5"/>
  <c r="F7" i="5"/>
  <c r="D6" i="5"/>
  <c r="F4" i="5"/>
  <c r="B4" i="6"/>
  <c r="B5" i="6"/>
  <c r="B6" i="6"/>
  <c r="B7" i="6"/>
  <c r="I7" i="6" l="1"/>
  <c r="G7" i="6"/>
  <c r="C7" i="6"/>
  <c r="H7" i="6"/>
  <c r="I5" i="6"/>
  <c r="G5" i="6"/>
  <c r="C5" i="6"/>
  <c r="H5" i="6"/>
  <c r="H6" i="6"/>
  <c r="G6" i="6"/>
  <c r="C6" i="6"/>
  <c r="I6" i="6"/>
  <c r="H4" i="6"/>
  <c r="I4" i="6"/>
  <c r="C4" i="6"/>
  <c r="G4" i="6"/>
  <c r="F7" i="6"/>
  <c r="D5" i="6"/>
  <c r="D6" i="6"/>
  <c r="D4" i="6"/>
  <c r="D7" i="6"/>
  <c r="F6" i="6"/>
  <c r="F5" i="6"/>
  <c r="F4" i="6"/>
  <c r="B80" i="3" l="1"/>
  <c r="B81" i="3"/>
  <c r="B82" i="3"/>
  <c r="B83" i="3"/>
  <c r="B84" i="3"/>
  <c r="B85" i="3"/>
  <c r="B86" i="3"/>
  <c r="B87" i="3"/>
  <c r="B88" i="3"/>
  <c r="B89" i="3"/>
  <c r="B69" i="3"/>
  <c r="B70" i="3"/>
  <c r="B71" i="3"/>
  <c r="B72" i="3"/>
  <c r="B73" i="3"/>
  <c r="B74" i="3"/>
  <c r="B75" i="3"/>
  <c r="B76" i="3"/>
  <c r="B77" i="3"/>
  <c r="B78" i="3"/>
  <c r="B63" i="3"/>
  <c r="B64" i="3"/>
  <c r="B65" i="3"/>
  <c r="B66" i="3"/>
  <c r="B67" i="3"/>
  <c r="B55" i="3"/>
  <c r="B56" i="3"/>
  <c r="B57" i="3"/>
  <c r="B58" i="3"/>
  <c r="B59" i="3"/>
  <c r="B60" i="3"/>
  <c r="B61" i="3"/>
  <c r="B46" i="3"/>
  <c r="B47" i="3"/>
  <c r="B48" i="3"/>
  <c r="B49" i="3"/>
  <c r="B50" i="3"/>
  <c r="B51" i="3"/>
  <c r="B52" i="3"/>
  <c r="B53" i="3"/>
  <c r="H49" i="3" l="1"/>
  <c r="I49" i="3"/>
  <c r="G49" i="3"/>
  <c r="C49" i="3"/>
  <c r="H59" i="3"/>
  <c r="I59" i="3"/>
  <c r="G59" i="3"/>
  <c r="C59" i="3"/>
  <c r="H55" i="3"/>
  <c r="I55" i="3"/>
  <c r="G55" i="3"/>
  <c r="C55" i="3"/>
  <c r="I64" i="3"/>
  <c r="G64" i="3"/>
  <c r="C64" i="3"/>
  <c r="H64" i="3"/>
  <c r="I76" i="3"/>
  <c r="G76" i="3"/>
  <c r="C76" i="3"/>
  <c r="H76" i="3"/>
  <c r="I74" i="3"/>
  <c r="G74" i="3"/>
  <c r="C74" i="3"/>
  <c r="H74" i="3"/>
  <c r="I72" i="3"/>
  <c r="G72" i="3"/>
  <c r="C72" i="3"/>
  <c r="H72" i="3"/>
  <c r="I70" i="3"/>
  <c r="G70" i="3"/>
  <c r="C70" i="3"/>
  <c r="H70" i="3"/>
  <c r="H89" i="3"/>
  <c r="I89" i="3"/>
  <c r="C89" i="3"/>
  <c r="G89" i="3"/>
  <c r="H87" i="3"/>
  <c r="G87" i="3"/>
  <c r="I87" i="3"/>
  <c r="C87" i="3"/>
  <c r="H85" i="3"/>
  <c r="I85" i="3"/>
  <c r="C85" i="3"/>
  <c r="G85" i="3"/>
  <c r="H83" i="3"/>
  <c r="G83" i="3"/>
  <c r="I83" i="3"/>
  <c r="C83" i="3"/>
  <c r="H81" i="3"/>
  <c r="I81" i="3"/>
  <c r="C81" i="3"/>
  <c r="G81" i="3"/>
  <c r="H53" i="3"/>
  <c r="I53" i="3"/>
  <c r="G53" i="3"/>
  <c r="C53" i="3"/>
  <c r="H51" i="3"/>
  <c r="I51" i="3"/>
  <c r="G51" i="3"/>
  <c r="C51" i="3"/>
  <c r="H47" i="3"/>
  <c r="I47" i="3"/>
  <c r="G47" i="3"/>
  <c r="C47" i="3"/>
  <c r="H61" i="3"/>
  <c r="I61" i="3"/>
  <c r="C61" i="3"/>
  <c r="G61" i="3"/>
  <c r="H57" i="3"/>
  <c r="I57" i="3"/>
  <c r="G57" i="3"/>
  <c r="C57" i="3"/>
  <c r="I66" i="3"/>
  <c r="G66" i="3"/>
  <c r="C66" i="3"/>
  <c r="H66" i="3"/>
  <c r="I78" i="3"/>
  <c r="G78" i="3"/>
  <c r="C78" i="3"/>
  <c r="H78" i="3"/>
  <c r="I52" i="3"/>
  <c r="G52" i="3"/>
  <c r="C52" i="3"/>
  <c r="H52" i="3"/>
  <c r="I50" i="3"/>
  <c r="G50" i="3"/>
  <c r="C50" i="3"/>
  <c r="H50" i="3"/>
  <c r="I48" i="3"/>
  <c r="G48" i="3"/>
  <c r="C48" i="3"/>
  <c r="H48" i="3"/>
  <c r="I46" i="3"/>
  <c r="G46" i="3"/>
  <c r="C46" i="3"/>
  <c r="H46" i="3"/>
  <c r="I60" i="3"/>
  <c r="G60" i="3"/>
  <c r="C60" i="3"/>
  <c r="H60" i="3"/>
  <c r="I58" i="3"/>
  <c r="G58" i="3"/>
  <c r="C58" i="3"/>
  <c r="H58" i="3"/>
  <c r="I56" i="3"/>
  <c r="G56" i="3"/>
  <c r="C56" i="3"/>
  <c r="H56" i="3"/>
  <c r="H67" i="3"/>
  <c r="G67" i="3"/>
  <c r="I67" i="3"/>
  <c r="C67" i="3"/>
  <c r="H65" i="3"/>
  <c r="I65" i="3"/>
  <c r="C65" i="3"/>
  <c r="G65" i="3"/>
  <c r="H63" i="3"/>
  <c r="G63" i="3"/>
  <c r="I63" i="3"/>
  <c r="C63" i="3"/>
  <c r="H77" i="3"/>
  <c r="I77" i="3"/>
  <c r="C77" i="3"/>
  <c r="G77" i="3"/>
  <c r="H75" i="3"/>
  <c r="G75" i="3"/>
  <c r="I75" i="3"/>
  <c r="C75" i="3"/>
  <c r="H73" i="3"/>
  <c r="I73" i="3"/>
  <c r="C73" i="3"/>
  <c r="G73" i="3"/>
  <c r="H71" i="3"/>
  <c r="G71" i="3"/>
  <c r="I71" i="3"/>
  <c r="C71" i="3"/>
  <c r="H69" i="3"/>
  <c r="I69" i="3"/>
  <c r="C69" i="3"/>
  <c r="G69" i="3"/>
  <c r="I88" i="3"/>
  <c r="G88" i="3"/>
  <c r="C88" i="3"/>
  <c r="H88" i="3"/>
  <c r="I86" i="3"/>
  <c r="G86" i="3"/>
  <c r="C86" i="3"/>
  <c r="H86" i="3"/>
  <c r="I84" i="3"/>
  <c r="G84" i="3"/>
  <c r="C84" i="3"/>
  <c r="H84" i="3"/>
  <c r="I82" i="3"/>
  <c r="G82" i="3"/>
  <c r="C82" i="3"/>
  <c r="H82" i="3"/>
  <c r="I80" i="3"/>
  <c r="G80" i="3"/>
  <c r="C80" i="3"/>
  <c r="H80" i="3"/>
  <c r="D74" i="3"/>
  <c r="D70" i="3"/>
  <c r="D87" i="3"/>
  <c r="D83" i="3"/>
  <c r="D78" i="3"/>
  <c r="D76" i="3"/>
  <c r="D72" i="3"/>
  <c r="D89" i="3"/>
  <c r="D85" i="3"/>
  <c r="D81" i="3"/>
  <c r="D58" i="3"/>
  <c r="D55" i="3"/>
  <c r="D77" i="3"/>
  <c r="D75" i="3"/>
  <c r="D73" i="3"/>
  <c r="D71" i="3"/>
  <c r="D69" i="3"/>
  <c r="D88" i="3"/>
  <c r="D86" i="3"/>
  <c r="D84" i="3"/>
  <c r="D82" i="3"/>
  <c r="D80" i="3"/>
  <c r="D50" i="3"/>
  <c r="D66" i="3"/>
  <c r="D64" i="3"/>
  <c r="D53" i="3"/>
  <c r="D47" i="3"/>
  <c r="D59" i="3"/>
  <c r="D65" i="3"/>
  <c r="D51" i="3"/>
  <c r="D61" i="3"/>
  <c r="D67" i="3"/>
  <c r="D63" i="3"/>
  <c r="D57" i="3"/>
  <c r="D52" i="3"/>
  <c r="D49" i="3"/>
  <c r="D48" i="3"/>
  <c r="D46" i="3"/>
  <c r="D60" i="3"/>
  <c r="D56" i="3"/>
  <c r="K127" i="4" l="1"/>
  <c r="K126" i="4"/>
  <c r="B124" i="4"/>
  <c r="K124" i="4"/>
  <c r="B118" i="4"/>
  <c r="K118" i="4"/>
  <c r="B119" i="4"/>
  <c r="K119" i="4"/>
  <c r="B120" i="4"/>
  <c r="K120" i="4"/>
  <c r="B121" i="4"/>
  <c r="K121" i="4"/>
  <c r="B122" i="4"/>
  <c r="K122" i="4"/>
  <c r="B116" i="4"/>
  <c r="K116" i="4"/>
  <c r="B110" i="4"/>
  <c r="K110" i="4"/>
  <c r="B111" i="4"/>
  <c r="K111" i="4"/>
  <c r="B112" i="4"/>
  <c r="K112" i="4"/>
  <c r="B113" i="4"/>
  <c r="K113" i="4"/>
  <c r="B114" i="4"/>
  <c r="K114" i="4"/>
  <c r="B99" i="4"/>
  <c r="K99" i="4"/>
  <c r="B100" i="4"/>
  <c r="K100" i="4"/>
  <c r="B101" i="4"/>
  <c r="K101" i="4"/>
  <c r="B102" i="4"/>
  <c r="K102" i="4"/>
  <c r="B103" i="4"/>
  <c r="K103" i="4"/>
  <c r="B104" i="4"/>
  <c r="K104" i="4"/>
  <c r="B105" i="4"/>
  <c r="K105" i="4"/>
  <c r="B106" i="4"/>
  <c r="K106" i="4"/>
  <c r="B107" i="4"/>
  <c r="K107" i="4"/>
  <c r="B108" i="4"/>
  <c r="K108" i="4"/>
  <c r="K98" i="4"/>
  <c r="K109" i="4"/>
  <c r="K115" i="4"/>
  <c r="K117" i="4"/>
  <c r="K123" i="4"/>
  <c r="K125" i="4"/>
  <c r="K95" i="4"/>
  <c r="I107" i="4" l="1"/>
  <c r="G107" i="4"/>
  <c r="C107" i="4"/>
  <c r="H107" i="4"/>
  <c r="I106" i="4"/>
  <c r="G106" i="4"/>
  <c r="C106" i="4"/>
  <c r="H106" i="4"/>
  <c r="D104" i="4"/>
  <c r="I104" i="4"/>
  <c r="G104" i="4"/>
  <c r="C104" i="4"/>
  <c r="H104" i="4"/>
  <c r="I103" i="4"/>
  <c r="G103" i="4"/>
  <c r="C103" i="4"/>
  <c r="H103" i="4"/>
  <c r="I101" i="4"/>
  <c r="G101" i="4"/>
  <c r="C101" i="4"/>
  <c r="H101" i="4"/>
  <c r="I99" i="4"/>
  <c r="G99" i="4"/>
  <c r="C99" i="4"/>
  <c r="H99" i="4"/>
  <c r="I113" i="4"/>
  <c r="G113" i="4"/>
  <c r="C113" i="4"/>
  <c r="H113" i="4"/>
  <c r="I110" i="4"/>
  <c r="G110" i="4"/>
  <c r="C110" i="4"/>
  <c r="H110" i="4"/>
  <c r="I120" i="4"/>
  <c r="G120" i="4"/>
  <c r="C120" i="4"/>
  <c r="H120" i="4"/>
  <c r="D108" i="4"/>
  <c r="I108" i="4"/>
  <c r="G108" i="4"/>
  <c r="C108" i="4"/>
  <c r="H108" i="4"/>
  <c r="I105" i="4"/>
  <c r="G105" i="4"/>
  <c r="C105" i="4"/>
  <c r="H105" i="4"/>
  <c r="I102" i="4"/>
  <c r="G102" i="4"/>
  <c r="C102" i="4"/>
  <c r="H102" i="4"/>
  <c r="D100" i="4"/>
  <c r="I100" i="4"/>
  <c r="G100" i="4"/>
  <c r="C100" i="4"/>
  <c r="H100" i="4"/>
  <c r="I114" i="4"/>
  <c r="G114" i="4"/>
  <c r="C114" i="4"/>
  <c r="H114" i="4"/>
  <c r="I112" i="4"/>
  <c r="G112" i="4"/>
  <c r="C112" i="4"/>
  <c r="H112" i="4"/>
  <c r="I111" i="4"/>
  <c r="G111" i="4"/>
  <c r="C111" i="4"/>
  <c r="H111" i="4"/>
  <c r="I116" i="4"/>
  <c r="G116" i="4"/>
  <c r="C116" i="4"/>
  <c r="H116" i="4"/>
  <c r="H122" i="4"/>
  <c r="I122" i="4"/>
  <c r="C122" i="4"/>
  <c r="G122" i="4"/>
  <c r="I121" i="4"/>
  <c r="G121" i="4"/>
  <c r="C121" i="4"/>
  <c r="H121" i="4"/>
  <c r="I119" i="4"/>
  <c r="G119" i="4"/>
  <c r="C119" i="4"/>
  <c r="H119" i="4"/>
  <c r="I118" i="4"/>
  <c r="G118" i="4"/>
  <c r="C118" i="4"/>
  <c r="H118" i="4"/>
  <c r="H124" i="4"/>
  <c r="I124" i="4"/>
  <c r="C124" i="4"/>
  <c r="G124" i="4"/>
  <c r="D118" i="4"/>
  <c r="D122" i="4"/>
  <c r="D116" i="4"/>
  <c r="F122" i="4"/>
  <c r="D121" i="4"/>
  <c r="D120" i="4"/>
  <c r="F118" i="4"/>
  <c r="D124" i="4"/>
  <c r="D103" i="4"/>
  <c r="D101" i="4"/>
  <c r="D112" i="4"/>
  <c r="F116" i="4"/>
  <c r="F120" i="4"/>
  <c r="D119" i="4"/>
  <c r="F124" i="4"/>
  <c r="D107" i="4"/>
  <c r="F101" i="4"/>
  <c r="D99" i="4"/>
  <c r="D114" i="4"/>
  <c r="F112" i="4"/>
  <c r="D111" i="4"/>
  <c r="F121" i="4"/>
  <c r="F119" i="4"/>
  <c r="D110" i="4"/>
  <c r="D105" i="4"/>
  <c r="F103" i="4"/>
  <c r="F114" i="4"/>
  <c r="D113" i="4"/>
  <c r="F110" i="4"/>
  <c r="F107" i="4"/>
  <c r="F105" i="4"/>
  <c r="F99" i="4"/>
  <c r="F113" i="4"/>
  <c r="F111" i="4"/>
  <c r="F106" i="4"/>
  <c r="F102" i="4"/>
  <c r="F108" i="4"/>
  <c r="D106" i="4"/>
  <c r="F104" i="4"/>
  <c r="D102" i="4"/>
  <c r="F100" i="4"/>
  <c r="B41" i="3" l="1"/>
  <c r="B42" i="3"/>
  <c r="B43" i="3"/>
  <c r="B44" i="3"/>
  <c r="D41" i="3"/>
  <c r="D43" i="3"/>
  <c r="B38" i="3"/>
  <c r="B39" i="3"/>
  <c r="B30" i="3"/>
  <c r="B31" i="3"/>
  <c r="B32" i="3"/>
  <c r="B33" i="3"/>
  <c r="B34" i="3"/>
  <c r="B35" i="3"/>
  <c r="B36" i="3"/>
  <c r="B25" i="3"/>
  <c r="B26" i="3"/>
  <c r="B27" i="3"/>
  <c r="B28" i="3"/>
  <c r="B18" i="3"/>
  <c r="B19" i="3"/>
  <c r="B20" i="3"/>
  <c r="B21" i="3"/>
  <c r="B22" i="3"/>
  <c r="B23" i="3"/>
  <c r="B16" i="3"/>
  <c r="B65" i="4"/>
  <c r="K65" i="4"/>
  <c r="B66" i="4"/>
  <c r="K66" i="4"/>
  <c r="B67" i="4"/>
  <c r="K67" i="4"/>
  <c r="B68" i="4"/>
  <c r="K68" i="4"/>
  <c r="B69" i="4"/>
  <c r="K69" i="4"/>
  <c r="B70" i="4"/>
  <c r="K70" i="4"/>
  <c r="B57" i="4"/>
  <c r="K57" i="4"/>
  <c r="B58" i="4"/>
  <c r="K58" i="4"/>
  <c r="B59" i="4"/>
  <c r="K59" i="4"/>
  <c r="B60" i="4"/>
  <c r="K60" i="4"/>
  <c r="B61" i="4"/>
  <c r="K61" i="4"/>
  <c r="B62" i="4"/>
  <c r="K62" i="4"/>
  <c r="B63" i="4"/>
  <c r="K63" i="4"/>
  <c r="B49" i="4"/>
  <c r="K49" i="4"/>
  <c r="B50" i="4"/>
  <c r="K50" i="4"/>
  <c r="B51" i="4"/>
  <c r="K51" i="4"/>
  <c r="B52" i="4"/>
  <c r="K52" i="4"/>
  <c r="B53" i="4"/>
  <c r="K53" i="4"/>
  <c r="B54" i="4"/>
  <c r="K54" i="4"/>
  <c r="B55" i="4"/>
  <c r="K55" i="4"/>
  <c r="B42" i="4"/>
  <c r="K42" i="4"/>
  <c r="B43" i="4"/>
  <c r="K43" i="4"/>
  <c r="B44" i="4"/>
  <c r="K44" i="4"/>
  <c r="B45" i="4"/>
  <c r="K45" i="4"/>
  <c r="B46" i="4"/>
  <c r="K46" i="4"/>
  <c r="B47" i="4"/>
  <c r="K47" i="4"/>
  <c r="K48" i="4"/>
  <c r="K56" i="4"/>
  <c r="K64" i="4"/>
  <c r="K71" i="4"/>
  <c r="B5" i="2"/>
  <c r="I47" i="4" l="1"/>
  <c r="G47" i="4"/>
  <c r="C47" i="4"/>
  <c r="H47" i="4"/>
  <c r="I44" i="4"/>
  <c r="G44" i="4"/>
  <c r="C44" i="4"/>
  <c r="H44" i="4"/>
  <c r="I42" i="4"/>
  <c r="G42" i="4"/>
  <c r="C42" i="4"/>
  <c r="H42" i="4"/>
  <c r="I54" i="4"/>
  <c r="G54" i="4"/>
  <c r="C54" i="4"/>
  <c r="H54" i="4"/>
  <c r="I52" i="4"/>
  <c r="G52" i="4"/>
  <c r="C52" i="4"/>
  <c r="H52" i="4"/>
  <c r="I50" i="4"/>
  <c r="G50" i="4"/>
  <c r="C50" i="4"/>
  <c r="H50" i="4"/>
  <c r="I63" i="4"/>
  <c r="G63" i="4"/>
  <c r="C63" i="4"/>
  <c r="H63" i="4"/>
  <c r="I61" i="4"/>
  <c r="G61" i="4"/>
  <c r="C61" i="4"/>
  <c r="H61" i="4"/>
  <c r="I59" i="4"/>
  <c r="G59" i="4"/>
  <c r="C59" i="4"/>
  <c r="H59" i="4"/>
  <c r="D16" i="3"/>
  <c r="I16" i="3"/>
  <c r="G16" i="3"/>
  <c r="C16" i="3"/>
  <c r="H16" i="3"/>
  <c r="D22" i="3"/>
  <c r="I22" i="3"/>
  <c r="G22" i="3"/>
  <c r="C22" i="3"/>
  <c r="H22" i="3"/>
  <c r="I20" i="3"/>
  <c r="G20" i="3"/>
  <c r="C20" i="3"/>
  <c r="H20" i="3"/>
  <c r="D18" i="3"/>
  <c r="I18" i="3"/>
  <c r="G18" i="3"/>
  <c r="C18" i="3"/>
  <c r="H18" i="3"/>
  <c r="D27" i="3"/>
  <c r="H27" i="3"/>
  <c r="I27" i="3"/>
  <c r="G27" i="3"/>
  <c r="C27" i="3"/>
  <c r="H25" i="3"/>
  <c r="I25" i="3"/>
  <c r="G25" i="3"/>
  <c r="C25" i="3"/>
  <c r="H35" i="3"/>
  <c r="I35" i="3"/>
  <c r="G35" i="3"/>
  <c r="C35" i="3"/>
  <c r="H33" i="3"/>
  <c r="I33" i="3"/>
  <c r="G33" i="3"/>
  <c r="C33" i="3"/>
  <c r="H31" i="3"/>
  <c r="I31" i="3"/>
  <c r="G31" i="3"/>
  <c r="C31" i="3"/>
  <c r="H39" i="3"/>
  <c r="I39" i="3"/>
  <c r="G39" i="3"/>
  <c r="C39" i="3"/>
  <c r="I44" i="3"/>
  <c r="G44" i="3"/>
  <c r="C44" i="3"/>
  <c r="H44" i="3"/>
  <c r="I42" i="3"/>
  <c r="G42" i="3"/>
  <c r="C42" i="3"/>
  <c r="H42" i="3"/>
  <c r="I46" i="4"/>
  <c r="G46" i="4"/>
  <c r="C46" i="4"/>
  <c r="H46" i="4"/>
  <c r="I45" i="4"/>
  <c r="G45" i="4"/>
  <c r="C45" i="4"/>
  <c r="H45" i="4"/>
  <c r="I43" i="4"/>
  <c r="G43" i="4"/>
  <c r="C43" i="4"/>
  <c r="H43" i="4"/>
  <c r="I55" i="4"/>
  <c r="G55" i="4"/>
  <c r="C55" i="4"/>
  <c r="H55" i="4"/>
  <c r="I53" i="4"/>
  <c r="G53" i="4"/>
  <c r="C53" i="4"/>
  <c r="H53" i="4"/>
  <c r="I51" i="4"/>
  <c r="G51" i="4"/>
  <c r="C51" i="4"/>
  <c r="H51" i="4"/>
  <c r="I49" i="4"/>
  <c r="G49" i="4"/>
  <c r="C49" i="4"/>
  <c r="H49" i="4"/>
  <c r="I62" i="4"/>
  <c r="G62" i="4"/>
  <c r="C62" i="4"/>
  <c r="H62" i="4"/>
  <c r="I60" i="4"/>
  <c r="G60" i="4"/>
  <c r="C60" i="4"/>
  <c r="H60" i="4"/>
  <c r="I58" i="4"/>
  <c r="G58" i="4"/>
  <c r="C58" i="4"/>
  <c r="H58" i="4"/>
  <c r="I57" i="4"/>
  <c r="G57" i="4"/>
  <c r="C57" i="4"/>
  <c r="H57" i="4"/>
  <c r="I70" i="4"/>
  <c r="G70" i="4"/>
  <c r="C70" i="4"/>
  <c r="H70" i="4"/>
  <c r="I69" i="4"/>
  <c r="G69" i="4"/>
  <c r="C69" i="4"/>
  <c r="H69" i="4"/>
  <c r="I68" i="4"/>
  <c r="G68" i="4"/>
  <c r="C68" i="4"/>
  <c r="H68" i="4"/>
  <c r="I67" i="4"/>
  <c r="G67" i="4"/>
  <c r="C67" i="4"/>
  <c r="H67" i="4"/>
  <c r="I66" i="4"/>
  <c r="G66" i="4"/>
  <c r="C66" i="4"/>
  <c r="H66" i="4"/>
  <c r="I65" i="4"/>
  <c r="G65" i="4"/>
  <c r="C65" i="4"/>
  <c r="H65" i="4"/>
  <c r="D23" i="3"/>
  <c r="H23" i="3"/>
  <c r="I23" i="3"/>
  <c r="G23" i="3"/>
  <c r="C23" i="3"/>
  <c r="D21" i="3"/>
  <c r="H21" i="3"/>
  <c r="I21" i="3"/>
  <c r="G21" i="3"/>
  <c r="C21" i="3"/>
  <c r="D19" i="3"/>
  <c r="H19" i="3"/>
  <c r="I19" i="3"/>
  <c r="G19" i="3"/>
  <c r="C19" i="3"/>
  <c r="D28" i="3"/>
  <c r="I28" i="3"/>
  <c r="G28" i="3"/>
  <c r="C28" i="3"/>
  <c r="H28" i="3"/>
  <c r="D26" i="3"/>
  <c r="I26" i="3"/>
  <c r="G26" i="3"/>
  <c r="C26" i="3"/>
  <c r="H26" i="3"/>
  <c r="D36" i="3"/>
  <c r="I36" i="3"/>
  <c r="G36" i="3"/>
  <c r="C36" i="3"/>
  <c r="H36" i="3"/>
  <c r="D34" i="3"/>
  <c r="I34" i="3"/>
  <c r="G34" i="3"/>
  <c r="C34" i="3"/>
  <c r="H34" i="3"/>
  <c r="D32" i="3"/>
  <c r="I32" i="3"/>
  <c r="G32" i="3"/>
  <c r="C32" i="3"/>
  <c r="H32" i="3"/>
  <c r="D30" i="3"/>
  <c r="I30" i="3"/>
  <c r="G30" i="3"/>
  <c r="C30" i="3"/>
  <c r="H30" i="3"/>
  <c r="D38" i="3"/>
  <c r="I38" i="3"/>
  <c r="G38" i="3"/>
  <c r="C38" i="3"/>
  <c r="H38" i="3"/>
  <c r="H43" i="3"/>
  <c r="I43" i="3"/>
  <c r="G43" i="3"/>
  <c r="C43" i="3"/>
  <c r="H41" i="3"/>
  <c r="I41" i="3"/>
  <c r="G41" i="3"/>
  <c r="C41" i="3"/>
  <c r="D44" i="3"/>
  <c r="D42" i="3"/>
  <c r="D61" i="4"/>
  <c r="D47" i="4"/>
  <c r="D46" i="4"/>
  <c r="D44" i="4"/>
  <c r="F61" i="4"/>
  <c r="D60" i="4"/>
  <c r="D59" i="4"/>
  <c r="D57" i="4"/>
  <c r="D54" i="4"/>
  <c r="D67" i="4"/>
  <c r="F54" i="4"/>
  <c r="D53" i="4"/>
  <c r="D52" i="4"/>
  <c r="D50" i="4"/>
  <c r="F67" i="4"/>
  <c r="D66" i="4"/>
  <c r="D65" i="4"/>
  <c r="F44" i="4"/>
  <c r="D43" i="4"/>
  <c r="D42" i="4"/>
  <c r="F50" i="4"/>
  <c r="D49" i="4"/>
  <c r="D63" i="4"/>
  <c r="F57" i="4"/>
  <c r="D70" i="4"/>
  <c r="D69" i="4"/>
  <c r="F46" i="4"/>
  <c r="D45" i="4"/>
  <c r="F42" i="4"/>
  <c r="D55" i="4"/>
  <c r="F52" i="4"/>
  <c r="D51" i="4"/>
  <c r="F63" i="4"/>
  <c r="D62" i="4"/>
  <c r="F59" i="4"/>
  <c r="D58" i="4"/>
  <c r="F69" i="4"/>
  <c r="D68" i="4"/>
  <c r="F65" i="4"/>
  <c r="D20" i="3"/>
  <c r="D25" i="3"/>
  <c r="D35" i="3"/>
  <c r="D33" i="3"/>
  <c r="D31" i="3"/>
  <c r="D39" i="3"/>
  <c r="F47" i="4"/>
  <c r="F45" i="4"/>
  <c r="F43" i="4"/>
  <c r="F55" i="4"/>
  <c r="F53" i="4"/>
  <c r="F51" i="4"/>
  <c r="F49" i="4"/>
  <c r="F62" i="4"/>
  <c r="F60" i="4"/>
  <c r="F58" i="4"/>
  <c r="F70" i="4"/>
  <c r="F68" i="4"/>
  <c r="F66" i="4"/>
  <c r="K3" i="4" l="1"/>
  <c r="B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B32" i="4"/>
  <c r="B33" i="4"/>
  <c r="B34" i="4"/>
  <c r="B35" i="4"/>
  <c r="B36" i="4"/>
  <c r="B37" i="4"/>
  <c r="B38" i="4"/>
  <c r="B39" i="4"/>
  <c r="B40" i="4"/>
  <c r="B24" i="4"/>
  <c r="B25" i="4"/>
  <c r="B26" i="4"/>
  <c r="B27" i="4"/>
  <c r="B28" i="4"/>
  <c r="B29" i="4"/>
  <c r="B30" i="4"/>
  <c r="B19" i="4"/>
  <c r="B20" i="4"/>
  <c r="B21" i="4"/>
  <c r="B22" i="4"/>
  <c r="B14" i="4"/>
  <c r="B15" i="4"/>
  <c r="B16" i="4"/>
  <c r="B17" i="4"/>
  <c r="B10" i="4"/>
  <c r="B11" i="4"/>
  <c r="B12" i="4"/>
  <c r="B6" i="4"/>
  <c r="B7" i="4"/>
  <c r="B8" i="4"/>
  <c r="B15" i="3"/>
  <c r="B14" i="3"/>
  <c r="B8" i="3"/>
  <c r="D14" i="3" l="1"/>
  <c r="I14" i="3"/>
  <c r="G14" i="3"/>
  <c r="C14" i="3"/>
  <c r="H14" i="3"/>
  <c r="D6" i="4"/>
  <c r="I6" i="4"/>
  <c r="G6" i="4"/>
  <c r="C6" i="4"/>
  <c r="H6" i="4"/>
  <c r="D11" i="4"/>
  <c r="I11" i="4"/>
  <c r="G11" i="4"/>
  <c r="C11" i="4"/>
  <c r="H11" i="4"/>
  <c r="D17" i="4"/>
  <c r="I17" i="4"/>
  <c r="G17" i="4"/>
  <c r="C17" i="4"/>
  <c r="H17" i="4"/>
  <c r="D15" i="4"/>
  <c r="I15" i="4"/>
  <c r="G15" i="4"/>
  <c r="C15" i="4"/>
  <c r="H15" i="4"/>
  <c r="I22" i="4"/>
  <c r="G22" i="4"/>
  <c r="C22" i="4"/>
  <c r="H22" i="4"/>
  <c r="I20" i="4"/>
  <c r="G20" i="4"/>
  <c r="C20" i="4"/>
  <c r="H20" i="4"/>
  <c r="I30" i="4"/>
  <c r="G30" i="4"/>
  <c r="C30" i="4"/>
  <c r="H30" i="4"/>
  <c r="I28" i="4"/>
  <c r="G28" i="4"/>
  <c r="C28" i="4"/>
  <c r="H28" i="4"/>
  <c r="I26" i="4"/>
  <c r="G26" i="4"/>
  <c r="C26" i="4"/>
  <c r="H26" i="4"/>
  <c r="I24" i="4"/>
  <c r="G24" i="4"/>
  <c r="C24" i="4"/>
  <c r="H24" i="4"/>
  <c r="I39" i="4"/>
  <c r="G39" i="4"/>
  <c r="C39" i="4"/>
  <c r="H39" i="4"/>
  <c r="I37" i="4"/>
  <c r="G37" i="4"/>
  <c r="C37" i="4"/>
  <c r="H37" i="4"/>
  <c r="I35" i="4"/>
  <c r="G35" i="4"/>
  <c r="C35" i="4"/>
  <c r="H35" i="4"/>
  <c r="I33" i="4"/>
  <c r="G33" i="4"/>
  <c r="C33" i="4"/>
  <c r="H33" i="4"/>
  <c r="I4" i="4"/>
  <c r="G4" i="4"/>
  <c r="C4" i="4"/>
  <c r="H4" i="4"/>
  <c r="D8" i="4"/>
  <c r="I8" i="4"/>
  <c r="G8" i="4"/>
  <c r="C8" i="4"/>
  <c r="H8" i="4"/>
  <c r="I8" i="3"/>
  <c r="G8" i="3"/>
  <c r="C8" i="3"/>
  <c r="H8" i="3"/>
  <c r="H15" i="3"/>
  <c r="I15" i="3"/>
  <c r="G15" i="3"/>
  <c r="C15" i="3"/>
  <c r="D7" i="4"/>
  <c r="I7" i="4"/>
  <c r="G7" i="4"/>
  <c r="C7" i="4"/>
  <c r="H7" i="4"/>
  <c r="D12" i="4"/>
  <c r="I12" i="4"/>
  <c r="G12" i="4"/>
  <c r="C12" i="4"/>
  <c r="H12" i="4"/>
  <c r="D10" i="4"/>
  <c r="I10" i="4"/>
  <c r="G10" i="4"/>
  <c r="C10" i="4"/>
  <c r="H10" i="4"/>
  <c r="D16" i="4"/>
  <c r="I16" i="4"/>
  <c r="G16" i="4"/>
  <c r="C16" i="4"/>
  <c r="H16" i="4"/>
  <c r="D14" i="4"/>
  <c r="I14" i="4"/>
  <c r="G14" i="4"/>
  <c r="C14" i="4"/>
  <c r="H14" i="4"/>
  <c r="I21" i="4"/>
  <c r="G21" i="4"/>
  <c r="C21" i="4"/>
  <c r="H21" i="4"/>
  <c r="I19" i="4"/>
  <c r="G19" i="4"/>
  <c r="C19" i="4"/>
  <c r="H19" i="4"/>
  <c r="I29" i="4"/>
  <c r="G29" i="4"/>
  <c r="C29" i="4"/>
  <c r="H29" i="4"/>
  <c r="I27" i="4"/>
  <c r="G27" i="4"/>
  <c r="C27" i="4"/>
  <c r="H27" i="4"/>
  <c r="I25" i="4"/>
  <c r="G25" i="4"/>
  <c r="C25" i="4"/>
  <c r="H25" i="4"/>
  <c r="I40" i="4"/>
  <c r="G40" i="4"/>
  <c r="C40" i="4"/>
  <c r="H40" i="4"/>
  <c r="I38" i="4"/>
  <c r="G38" i="4"/>
  <c r="C38" i="4"/>
  <c r="H38" i="4"/>
  <c r="I36" i="4"/>
  <c r="G36" i="4"/>
  <c r="C36" i="4"/>
  <c r="H36" i="4"/>
  <c r="I34" i="4"/>
  <c r="G34" i="4"/>
  <c r="C34" i="4"/>
  <c r="H34" i="4"/>
  <c r="I32" i="4"/>
  <c r="G32" i="4"/>
  <c r="C32" i="4"/>
  <c r="H32" i="4"/>
  <c r="D39" i="4"/>
  <c r="D35" i="4"/>
  <c r="D4" i="4"/>
  <c r="D37" i="4"/>
  <c r="D33" i="4"/>
  <c r="F4" i="4"/>
  <c r="D40" i="4"/>
  <c r="D38" i="4"/>
  <c r="D36" i="4"/>
  <c r="D34" i="4"/>
  <c r="D32" i="4"/>
  <c r="F40" i="4"/>
  <c r="F39" i="4"/>
  <c r="F38" i="4"/>
  <c r="F37" i="4"/>
  <c r="F36" i="4"/>
  <c r="F35" i="4"/>
  <c r="F34" i="4"/>
  <c r="F33" i="4"/>
  <c r="F32" i="4"/>
  <c r="F8" i="4"/>
  <c r="F7" i="4"/>
  <c r="F6" i="4"/>
  <c r="F12" i="4"/>
  <c r="F11" i="4"/>
  <c r="F10" i="4"/>
  <c r="F17" i="4"/>
  <c r="F16" i="4"/>
  <c r="F15" i="4"/>
  <c r="F14" i="4"/>
  <c r="F22" i="4"/>
  <c r="D22" i="4"/>
  <c r="F21" i="4"/>
  <c r="D21" i="4"/>
  <c r="F20" i="4"/>
  <c r="D20" i="4"/>
  <c r="F19" i="4"/>
  <c r="F30" i="4"/>
  <c r="F29" i="4"/>
  <c r="F28" i="4"/>
  <c r="F27" i="4"/>
  <c r="F26" i="4"/>
  <c r="F25" i="4"/>
  <c r="F24" i="4"/>
  <c r="D19" i="4"/>
  <c r="D30" i="4"/>
  <c r="D29" i="4"/>
  <c r="D28" i="4"/>
  <c r="D27" i="4"/>
  <c r="D26" i="4"/>
  <c r="D25" i="4"/>
  <c r="D24" i="4"/>
  <c r="D8" i="3"/>
  <c r="D15" i="3"/>
  <c r="B10" i="3" l="1"/>
  <c r="B11" i="3"/>
  <c r="B12" i="3"/>
  <c r="B4" i="3"/>
  <c r="B5" i="3"/>
  <c r="B6" i="3"/>
  <c r="B7" i="3"/>
  <c r="I4" i="3" l="1"/>
  <c r="G4" i="3"/>
  <c r="C4" i="3"/>
  <c r="H4" i="3"/>
  <c r="H11" i="3"/>
  <c r="I11" i="3"/>
  <c r="G11" i="3"/>
  <c r="C11" i="3"/>
  <c r="I6" i="3"/>
  <c r="G6" i="3"/>
  <c r="C6" i="3"/>
  <c r="H6" i="3"/>
  <c r="H7" i="3"/>
  <c r="I7" i="3"/>
  <c r="G7" i="3"/>
  <c r="C7" i="3"/>
  <c r="H5" i="3"/>
  <c r="I5" i="3"/>
  <c r="G5" i="3"/>
  <c r="C5" i="3"/>
  <c r="I12" i="3"/>
  <c r="G12" i="3"/>
  <c r="C12" i="3"/>
  <c r="H12" i="3"/>
  <c r="I10" i="3"/>
  <c r="G10" i="3"/>
  <c r="C10" i="3"/>
  <c r="H10" i="3"/>
  <c r="D6" i="3"/>
  <c r="D11" i="3"/>
  <c r="D7" i="3"/>
  <c r="D4" i="3"/>
  <c r="D12" i="3"/>
  <c r="D5" i="3"/>
  <c r="D10" i="3"/>
  <c r="B12" i="6" l="1"/>
  <c r="B11" i="6"/>
  <c r="B10" i="6"/>
  <c r="B9" i="6"/>
  <c r="B96" i="3"/>
  <c r="B95" i="3"/>
  <c r="B94" i="3"/>
  <c r="B93" i="3"/>
  <c r="B92" i="3"/>
  <c r="B91" i="3"/>
  <c r="B126" i="4"/>
  <c r="H93" i="3" l="1"/>
  <c r="I93" i="3"/>
  <c r="C93" i="3"/>
  <c r="G93" i="3"/>
  <c r="H95" i="3"/>
  <c r="G95" i="3"/>
  <c r="I95" i="3"/>
  <c r="C95" i="3"/>
  <c r="I9" i="6"/>
  <c r="G9" i="6"/>
  <c r="C9" i="6"/>
  <c r="H9" i="6"/>
  <c r="I11" i="6"/>
  <c r="G11" i="6"/>
  <c r="C11" i="6"/>
  <c r="H11" i="6"/>
  <c r="H91" i="3"/>
  <c r="G91" i="3"/>
  <c r="I91" i="3"/>
  <c r="C91" i="3"/>
  <c r="H126" i="4"/>
  <c r="I126" i="4"/>
  <c r="C126" i="4"/>
  <c r="G126" i="4"/>
  <c r="I92" i="3"/>
  <c r="G92" i="3"/>
  <c r="C92" i="3"/>
  <c r="H92" i="3"/>
  <c r="I94" i="3"/>
  <c r="G94" i="3"/>
  <c r="C94" i="3"/>
  <c r="H94" i="3"/>
  <c r="I96" i="3"/>
  <c r="G96" i="3"/>
  <c r="C96" i="3"/>
  <c r="H96" i="3"/>
  <c r="H10" i="6"/>
  <c r="G10" i="6"/>
  <c r="I10" i="6"/>
  <c r="C10" i="6"/>
  <c r="H12" i="6"/>
  <c r="I12" i="6"/>
  <c r="C12" i="6"/>
  <c r="G12" i="6"/>
  <c r="D10" i="6"/>
  <c r="F10" i="6"/>
  <c r="D12" i="6"/>
  <c r="F12" i="6"/>
  <c r="D9" i="6"/>
  <c r="F9" i="6"/>
  <c r="D11" i="6"/>
  <c r="F11" i="6"/>
  <c r="D92" i="3"/>
  <c r="D94" i="3"/>
  <c r="D96" i="3"/>
  <c r="D91" i="3"/>
  <c r="D93" i="3"/>
  <c r="D95" i="3"/>
  <c r="D126" i="4"/>
  <c r="F126" i="4"/>
  <c r="B164" i="4" l="1"/>
  <c r="B163" i="4"/>
  <c r="H163" i="4" l="1"/>
  <c r="G163" i="4"/>
  <c r="C163" i="4"/>
  <c r="I163" i="4"/>
  <c r="H164" i="4"/>
  <c r="I164" i="4"/>
  <c r="C164" i="4"/>
  <c r="G164" i="4"/>
  <c r="D164" i="4"/>
  <c r="F164" i="4"/>
  <c r="D163" i="4"/>
  <c r="F163" i="4"/>
  <c r="B224" i="4" l="1"/>
  <c r="B218" i="4"/>
  <c r="B217" i="4"/>
  <c r="B216" i="4"/>
  <c r="B215" i="4"/>
  <c r="B205" i="4"/>
  <c r="B203" i="4"/>
  <c r="B204" i="4"/>
  <c r="D203" i="4"/>
  <c r="B132" i="3"/>
  <c r="B131" i="3"/>
  <c r="B130" i="3"/>
  <c r="B129" i="3"/>
  <c r="B128" i="3"/>
  <c r="H132" i="3" l="1"/>
  <c r="I132" i="3"/>
  <c r="G132" i="3"/>
  <c r="C132" i="3"/>
  <c r="I205" i="4"/>
  <c r="G205" i="4"/>
  <c r="C205" i="4"/>
  <c r="H205" i="4"/>
  <c r="I216" i="4"/>
  <c r="G216" i="4"/>
  <c r="C216" i="4"/>
  <c r="H216" i="4"/>
  <c r="I218" i="4"/>
  <c r="G218" i="4"/>
  <c r="C218" i="4"/>
  <c r="H218" i="4"/>
  <c r="H128" i="3"/>
  <c r="I128" i="3"/>
  <c r="G128" i="3"/>
  <c r="C128" i="3"/>
  <c r="H130" i="3"/>
  <c r="I130" i="3"/>
  <c r="G130" i="3"/>
  <c r="C130" i="3"/>
  <c r="I204" i="4"/>
  <c r="G204" i="4"/>
  <c r="C204" i="4"/>
  <c r="H204" i="4"/>
  <c r="I129" i="3"/>
  <c r="G129" i="3"/>
  <c r="C129" i="3"/>
  <c r="H129" i="3"/>
  <c r="I131" i="3"/>
  <c r="G131" i="3"/>
  <c r="C131" i="3"/>
  <c r="H131" i="3"/>
  <c r="I203" i="4"/>
  <c r="G203" i="4"/>
  <c r="C203" i="4"/>
  <c r="H203" i="4"/>
  <c r="I215" i="4"/>
  <c r="G215" i="4"/>
  <c r="C215" i="4"/>
  <c r="H215" i="4"/>
  <c r="I217" i="4"/>
  <c r="G217" i="4"/>
  <c r="C217" i="4"/>
  <c r="H217" i="4"/>
  <c r="I224" i="4"/>
  <c r="G224" i="4"/>
  <c r="C224" i="4"/>
  <c r="H224" i="4"/>
  <c r="F224" i="4"/>
  <c r="F203" i="4"/>
  <c r="D205" i="4"/>
  <c r="D215" i="4"/>
  <c r="F215" i="4"/>
  <c r="D216" i="4"/>
  <c r="F216" i="4"/>
  <c r="D217" i="4"/>
  <c r="F217" i="4"/>
  <c r="D218" i="4"/>
  <c r="F218" i="4"/>
  <c r="D224" i="4"/>
  <c r="F205" i="4"/>
  <c r="D204" i="4"/>
  <c r="F204" i="4"/>
  <c r="D128" i="3"/>
  <c r="D130" i="3"/>
  <c r="D132" i="3"/>
  <c r="D129" i="3"/>
  <c r="D131" i="3"/>
  <c r="B229" i="3" l="1"/>
  <c r="H229" i="3" l="1"/>
  <c r="G229" i="3"/>
  <c r="I229" i="3"/>
  <c r="C229" i="3"/>
  <c r="D229" i="3"/>
  <c r="B127" i="4" l="1"/>
  <c r="B23" i="5"/>
  <c r="H23" i="5" l="1"/>
  <c r="G23" i="5"/>
  <c r="C23" i="5"/>
  <c r="I23" i="5"/>
  <c r="F23" i="5" s="1"/>
  <c r="H127" i="4"/>
  <c r="G127" i="4"/>
  <c r="C127" i="4"/>
  <c r="I127" i="4"/>
  <c r="D127" i="4"/>
  <c r="F127" i="4"/>
  <c r="D23" i="5"/>
  <c r="C52" i="1" l="1"/>
  <c r="C46" i="1"/>
  <c r="C39" i="1"/>
  <c r="C36" i="1"/>
  <c r="C34" i="1"/>
  <c r="C32" i="1"/>
  <c r="C29" i="1"/>
  <c r="C23" i="1"/>
  <c r="C20" i="1"/>
  <c r="C18" i="1"/>
  <c r="C15" i="1"/>
  <c r="C12" i="1"/>
  <c r="C4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1" i="1"/>
  <c r="C49" i="1"/>
  <c r="C45" i="1"/>
  <c r="C42" i="1"/>
  <c r="C40" i="1"/>
  <c r="C30" i="1"/>
  <c r="C27" i="1"/>
  <c r="C24" i="1"/>
  <c r="C16" i="1"/>
  <c r="C11" i="1"/>
  <c r="C9" i="1"/>
  <c r="C7" i="1"/>
  <c r="C3" i="1"/>
  <c r="C48" i="1"/>
  <c r="C43" i="1"/>
  <c r="C37" i="1"/>
  <c r="C35" i="1"/>
  <c r="C33" i="1"/>
  <c r="C31" i="1"/>
  <c r="C26" i="1"/>
  <c r="C22" i="1"/>
  <c r="C19" i="1"/>
  <c r="C17" i="1"/>
  <c r="C13" i="1"/>
  <c r="C6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0" i="1"/>
  <c r="C47" i="1"/>
  <c r="C44" i="1"/>
  <c r="C41" i="1"/>
  <c r="C38" i="1"/>
  <c r="C28" i="1"/>
  <c r="C25" i="1"/>
  <c r="C21" i="1"/>
  <c r="C14" i="1"/>
  <c r="C10" i="1"/>
  <c r="C8" i="1"/>
  <c r="C5" i="1"/>
  <c r="I8" i="1" l="1"/>
  <c r="F8" i="1"/>
  <c r="D8" i="1"/>
  <c r="G8" i="1"/>
  <c r="P8" i="1" s="1"/>
  <c r="E8" i="1"/>
  <c r="B13" i="3"/>
  <c r="I14" i="1"/>
  <c r="F14" i="1"/>
  <c r="D14" i="1"/>
  <c r="E14" i="1"/>
  <c r="G14" i="1"/>
  <c r="P14" i="1" s="1"/>
  <c r="B45" i="3"/>
  <c r="I25" i="1"/>
  <c r="F25" i="1"/>
  <c r="D25" i="1"/>
  <c r="E25" i="1"/>
  <c r="G25" i="1"/>
  <c r="P25" i="1" s="1"/>
  <c r="B127" i="3"/>
  <c r="I38" i="1"/>
  <c r="F38" i="1"/>
  <c r="D38" i="1"/>
  <c r="E38" i="1"/>
  <c r="G38" i="1"/>
  <c r="P38" i="1" s="1"/>
  <c r="B235" i="3"/>
  <c r="I44" i="1"/>
  <c r="F44" i="1"/>
  <c r="D44" i="1"/>
  <c r="G44" i="1"/>
  <c r="P44" i="1" s="1"/>
  <c r="E44" i="1"/>
  <c r="B13" i="6"/>
  <c r="I50" i="1"/>
  <c r="F50" i="1"/>
  <c r="D50" i="1"/>
  <c r="G50" i="1"/>
  <c r="P50" i="1" s="1"/>
  <c r="E50" i="1"/>
  <c r="B13" i="4"/>
  <c r="I55" i="1"/>
  <c r="F55" i="1"/>
  <c r="D55" i="1"/>
  <c r="G55" i="1"/>
  <c r="P55" i="1" s="1"/>
  <c r="E55" i="1"/>
  <c r="B48" i="4"/>
  <c r="I59" i="1"/>
  <c r="F59" i="1"/>
  <c r="D59" i="1"/>
  <c r="G59" i="1"/>
  <c r="P59" i="1" s="1"/>
  <c r="E59" i="1"/>
  <c r="B73" i="4"/>
  <c r="I63" i="1"/>
  <c r="F63" i="1"/>
  <c r="D63" i="1"/>
  <c r="G63" i="1"/>
  <c r="P63" i="1" s="1"/>
  <c r="E63" i="1"/>
  <c r="B98" i="4"/>
  <c r="I67" i="1"/>
  <c r="F67" i="1"/>
  <c r="D67" i="1"/>
  <c r="G67" i="1"/>
  <c r="P67" i="1" s="1"/>
  <c r="E67" i="1"/>
  <c r="B123" i="4"/>
  <c r="I71" i="1"/>
  <c r="F71" i="1"/>
  <c r="D71" i="1"/>
  <c r="G71" i="1"/>
  <c r="P71" i="1" s="1"/>
  <c r="E71" i="1"/>
  <c r="B142" i="4"/>
  <c r="I75" i="1"/>
  <c r="F75" i="1"/>
  <c r="D75" i="1"/>
  <c r="G75" i="1"/>
  <c r="P75" i="1" s="1"/>
  <c r="E75" i="1"/>
  <c r="B162" i="4"/>
  <c r="I79" i="1"/>
  <c r="F79" i="1"/>
  <c r="D79" i="1"/>
  <c r="G79" i="1"/>
  <c r="P79" i="1" s="1"/>
  <c r="E79" i="1"/>
  <c r="B196" i="4"/>
  <c r="I83" i="1"/>
  <c r="F83" i="1"/>
  <c r="D83" i="1"/>
  <c r="G83" i="1"/>
  <c r="P83" i="1" s="1"/>
  <c r="E83" i="1"/>
  <c r="B219" i="4"/>
  <c r="I87" i="1"/>
  <c r="F87" i="1"/>
  <c r="D87" i="1"/>
  <c r="G87" i="1"/>
  <c r="P87" i="1" s="1"/>
  <c r="E87" i="1"/>
  <c r="B13" i="5"/>
  <c r="I6" i="1"/>
  <c r="F6" i="1"/>
  <c r="D6" i="1"/>
  <c r="G6" i="1"/>
  <c r="P6" i="1" s="1"/>
  <c r="E6" i="1"/>
  <c r="B3" i="3"/>
  <c r="I17" i="1"/>
  <c r="F17" i="1"/>
  <c r="D17" i="1"/>
  <c r="G17" i="1"/>
  <c r="P17" i="1" s="1"/>
  <c r="E17" i="1"/>
  <c r="B68" i="3"/>
  <c r="I22" i="1"/>
  <c r="F22" i="1"/>
  <c r="D22" i="1"/>
  <c r="G22" i="1"/>
  <c r="P22" i="1" s="1"/>
  <c r="E22" i="1"/>
  <c r="B102" i="3"/>
  <c r="I31" i="1"/>
  <c r="F31" i="1"/>
  <c r="D31" i="1"/>
  <c r="G31" i="1"/>
  <c r="P31" i="1" s="1"/>
  <c r="E31" i="1"/>
  <c r="B176" i="3"/>
  <c r="I35" i="1"/>
  <c r="F35" i="1"/>
  <c r="D35" i="1"/>
  <c r="G35" i="1"/>
  <c r="P35" i="1" s="1"/>
  <c r="E35" i="1"/>
  <c r="B206" i="3"/>
  <c r="I43" i="1"/>
  <c r="F43" i="1"/>
  <c r="D43" i="1"/>
  <c r="G43" i="1"/>
  <c r="P43" i="1" s="1"/>
  <c r="E43" i="1"/>
  <c r="B8" i="6"/>
  <c r="I3" i="1"/>
  <c r="F3" i="1"/>
  <c r="D3" i="1"/>
  <c r="E3" i="1"/>
  <c r="G3" i="1"/>
  <c r="P3" i="1" s="1"/>
  <c r="I9" i="1"/>
  <c r="F9" i="1"/>
  <c r="D9" i="1"/>
  <c r="G9" i="1"/>
  <c r="P9" i="1" s="1"/>
  <c r="E9" i="1"/>
  <c r="B17" i="3"/>
  <c r="I16" i="1"/>
  <c r="F16" i="1"/>
  <c r="D16" i="1"/>
  <c r="E16" i="1"/>
  <c r="G16" i="1"/>
  <c r="P16" i="1" s="1"/>
  <c r="B62" i="3"/>
  <c r="I27" i="1"/>
  <c r="F27" i="1"/>
  <c r="D27" i="1"/>
  <c r="G27" i="1"/>
  <c r="P27" i="1" s="1"/>
  <c r="E27" i="1"/>
  <c r="B146" i="3"/>
  <c r="I40" i="1"/>
  <c r="F40" i="1"/>
  <c r="D40" i="1"/>
  <c r="G40" i="1"/>
  <c r="P40" i="1" s="1"/>
  <c r="E40" i="1"/>
  <c r="B249" i="3"/>
  <c r="I45" i="1"/>
  <c r="F45" i="1"/>
  <c r="D45" i="1"/>
  <c r="E45" i="1"/>
  <c r="G45" i="1"/>
  <c r="P45" i="1" s="1"/>
  <c r="B18" i="6"/>
  <c r="I51" i="1"/>
  <c r="F51" i="1"/>
  <c r="D51" i="1"/>
  <c r="G51" i="1"/>
  <c r="P51" i="1" s="1"/>
  <c r="E51" i="1"/>
  <c r="B18" i="4"/>
  <c r="I56" i="1"/>
  <c r="F56" i="1"/>
  <c r="D56" i="1"/>
  <c r="G56" i="1"/>
  <c r="P56" i="1" s="1"/>
  <c r="E56" i="1"/>
  <c r="B56" i="4"/>
  <c r="I60" i="1"/>
  <c r="F60" i="1"/>
  <c r="D60" i="1"/>
  <c r="G60" i="1"/>
  <c r="P60" i="1" s="1"/>
  <c r="E60" i="1"/>
  <c r="B82" i="4"/>
  <c r="I64" i="1"/>
  <c r="F64" i="1"/>
  <c r="D64" i="1"/>
  <c r="G64" i="1"/>
  <c r="P64" i="1" s="1"/>
  <c r="E64" i="1"/>
  <c r="B109" i="4"/>
  <c r="I68" i="1"/>
  <c r="F68" i="1"/>
  <c r="D68" i="1"/>
  <c r="G68" i="1"/>
  <c r="P68" i="1" s="1"/>
  <c r="E68" i="1"/>
  <c r="B125" i="4"/>
  <c r="I72" i="1"/>
  <c r="F72" i="1"/>
  <c r="D72" i="1"/>
  <c r="G72" i="1"/>
  <c r="P72" i="1" s="1"/>
  <c r="E72" i="1"/>
  <c r="B147" i="4"/>
  <c r="I76" i="1"/>
  <c r="F76" i="1"/>
  <c r="D76" i="1"/>
  <c r="G76" i="1"/>
  <c r="P76" i="1" s="1"/>
  <c r="E76" i="1"/>
  <c r="B166" i="4"/>
  <c r="I80" i="1"/>
  <c r="F80" i="1"/>
  <c r="D80" i="1"/>
  <c r="G80" i="1"/>
  <c r="P80" i="1" s="1"/>
  <c r="E80" i="1"/>
  <c r="B202" i="4"/>
  <c r="I84" i="1"/>
  <c r="F84" i="1"/>
  <c r="D84" i="1"/>
  <c r="G84" i="1"/>
  <c r="P84" i="1" s="1"/>
  <c r="E84" i="1"/>
  <c r="B223" i="4"/>
  <c r="I88" i="1"/>
  <c r="F88" i="1"/>
  <c r="D88" i="1"/>
  <c r="G88" i="1"/>
  <c r="P88" i="1" s="1"/>
  <c r="E88" i="1"/>
  <c r="I12" i="1"/>
  <c r="F12" i="1"/>
  <c r="D12" i="1"/>
  <c r="G12" i="1"/>
  <c r="P12" i="1" s="1"/>
  <c r="E12" i="1"/>
  <c r="B37" i="3"/>
  <c r="I18" i="1"/>
  <c r="F18" i="1"/>
  <c r="D18" i="1"/>
  <c r="G18" i="1"/>
  <c r="P18" i="1" s="1"/>
  <c r="E18" i="1"/>
  <c r="B79" i="3"/>
  <c r="I23" i="1"/>
  <c r="F23" i="1"/>
  <c r="D23" i="1"/>
  <c r="G23" i="1"/>
  <c r="P23" i="1" s="1"/>
  <c r="E23" i="1"/>
  <c r="B107" i="3"/>
  <c r="I32" i="1"/>
  <c r="F32" i="1"/>
  <c r="D32" i="1"/>
  <c r="G32" i="1"/>
  <c r="P32" i="1" s="1"/>
  <c r="E32" i="1"/>
  <c r="B188" i="3"/>
  <c r="I36" i="1"/>
  <c r="F36" i="1"/>
  <c r="D36" i="1"/>
  <c r="G36" i="1"/>
  <c r="P36" i="1" s="1"/>
  <c r="E36" i="1"/>
  <c r="B213" i="3"/>
  <c r="I46" i="1"/>
  <c r="F46" i="1"/>
  <c r="D46" i="1"/>
  <c r="G46" i="1"/>
  <c r="P46" i="1" s="1"/>
  <c r="E46" i="1"/>
  <c r="I5" i="1"/>
  <c r="F5" i="1"/>
  <c r="D5" i="1"/>
  <c r="E5" i="1"/>
  <c r="G5" i="1"/>
  <c r="P5" i="1" s="1"/>
  <c r="I10" i="1"/>
  <c r="F10" i="1"/>
  <c r="D10" i="1"/>
  <c r="G10" i="1"/>
  <c r="P10" i="1" s="1"/>
  <c r="E10" i="1"/>
  <c r="B24" i="3"/>
  <c r="I21" i="1"/>
  <c r="F21" i="1"/>
  <c r="D21" i="1"/>
  <c r="E21" i="1"/>
  <c r="G21" i="1"/>
  <c r="P21" i="1" s="1"/>
  <c r="B99" i="3"/>
  <c r="I28" i="1"/>
  <c r="F28" i="1"/>
  <c r="D28" i="1"/>
  <c r="E28" i="1"/>
  <c r="G28" i="1"/>
  <c r="P28" i="1" s="1"/>
  <c r="B158" i="3"/>
  <c r="I41" i="1"/>
  <c r="F41" i="1"/>
  <c r="D41" i="1"/>
  <c r="G41" i="1"/>
  <c r="P41" i="1" s="1"/>
  <c r="E41" i="1"/>
  <c r="I47" i="1"/>
  <c r="F47" i="1"/>
  <c r="D47" i="1"/>
  <c r="E47" i="1"/>
  <c r="G47" i="1"/>
  <c r="P47" i="1" s="1"/>
  <c r="B3" i="4"/>
  <c r="I53" i="1"/>
  <c r="F53" i="1"/>
  <c r="D53" i="1"/>
  <c r="E53" i="1"/>
  <c r="G53" i="1"/>
  <c r="P53" i="1" s="1"/>
  <c r="B31" i="4"/>
  <c r="I57" i="1"/>
  <c r="F57" i="1"/>
  <c r="D57" i="1"/>
  <c r="G57" i="1"/>
  <c r="P57" i="1" s="1"/>
  <c r="E57" i="1"/>
  <c r="B64" i="4"/>
  <c r="I61" i="1"/>
  <c r="F61" i="1"/>
  <c r="D61" i="1"/>
  <c r="G61" i="1"/>
  <c r="P61" i="1" s="1"/>
  <c r="E61" i="1"/>
  <c r="B84" i="4"/>
  <c r="I65" i="1"/>
  <c r="F65" i="1"/>
  <c r="D65" i="1"/>
  <c r="G65" i="1"/>
  <c r="P65" i="1" s="1"/>
  <c r="E65" i="1"/>
  <c r="B115" i="4"/>
  <c r="I69" i="1"/>
  <c r="F69" i="1"/>
  <c r="D69" i="1"/>
  <c r="G69" i="1"/>
  <c r="P69" i="1" s="1"/>
  <c r="E69" i="1"/>
  <c r="B128" i="4"/>
  <c r="I73" i="1"/>
  <c r="F73" i="1"/>
  <c r="D73" i="1"/>
  <c r="G73" i="1"/>
  <c r="P73" i="1" s="1"/>
  <c r="E73" i="1"/>
  <c r="B149" i="4"/>
  <c r="I77" i="1"/>
  <c r="F77" i="1"/>
  <c r="D77" i="1"/>
  <c r="G77" i="1"/>
  <c r="P77" i="1" s="1"/>
  <c r="E77" i="1"/>
  <c r="B177" i="4"/>
  <c r="I81" i="1"/>
  <c r="F81" i="1"/>
  <c r="D81" i="1"/>
  <c r="G81" i="1"/>
  <c r="P81" i="1" s="1"/>
  <c r="E81" i="1"/>
  <c r="B206" i="4"/>
  <c r="I85" i="1"/>
  <c r="F85" i="1"/>
  <c r="D85" i="1"/>
  <c r="G85" i="1"/>
  <c r="P85" i="1" s="1"/>
  <c r="E85" i="1"/>
  <c r="I89" i="1"/>
  <c r="F89" i="1"/>
  <c r="D89" i="1"/>
  <c r="G89" i="1"/>
  <c r="P89" i="1" s="1"/>
  <c r="E89" i="1"/>
  <c r="B3" i="8"/>
  <c r="I13" i="1"/>
  <c r="F13" i="1"/>
  <c r="D13" i="1"/>
  <c r="G13" i="1"/>
  <c r="P13" i="1" s="1"/>
  <c r="E13" i="1"/>
  <c r="B40" i="3"/>
  <c r="I19" i="1"/>
  <c r="F19" i="1"/>
  <c r="D19" i="1"/>
  <c r="G19" i="1"/>
  <c r="P19" i="1" s="1"/>
  <c r="E19" i="1"/>
  <c r="B90" i="3"/>
  <c r="I26" i="1"/>
  <c r="F26" i="1"/>
  <c r="D26" i="1"/>
  <c r="G26" i="1"/>
  <c r="P26" i="1" s="1"/>
  <c r="E26" i="1"/>
  <c r="B134" i="3"/>
  <c r="I33" i="1"/>
  <c r="F33" i="1"/>
  <c r="D33" i="1"/>
  <c r="G33" i="1"/>
  <c r="P33" i="1" s="1"/>
  <c r="E33" i="1"/>
  <c r="B196" i="3"/>
  <c r="I37" i="1"/>
  <c r="F37" i="1"/>
  <c r="D37" i="1"/>
  <c r="G37" i="1"/>
  <c r="P37" i="1" s="1"/>
  <c r="E37" i="1"/>
  <c r="B223" i="3"/>
  <c r="I48" i="1"/>
  <c r="F48" i="1"/>
  <c r="D48" i="1"/>
  <c r="G48" i="1"/>
  <c r="P48" i="1" s="1"/>
  <c r="E48" i="1"/>
  <c r="B5" i="4"/>
  <c r="I7" i="1"/>
  <c r="F7" i="1"/>
  <c r="D7" i="1"/>
  <c r="G7" i="1"/>
  <c r="P7" i="1" s="1"/>
  <c r="E7" i="1"/>
  <c r="B9" i="3"/>
  <c r="I11" i="1"/>
  <c r="F11" i="1"/>
  <c r="D11" i="1"/>
  <c r="E11" i="1"/>
  <c r="G11" i="1"/>
  <c r="P11" i="1" s="1"/>
  <c r="B29" i="3"/>
  <c r="I24" i="1"/>
  <c r="F24" i="1"/>
  <c r="D24" i="1"/>
  <c r="G24" i="1"/>
  <c r="P24" i="1" s="1"/>
  <c r="E24" i="1"/>
  <c r="B119" i="3"/>
  <c r="I30" i="1"/>
  <c r="F30" i="1"/>
  <c r="D30" i="1"/>
  <c r="E30" i="1"/>
  <c r="G30" i="1"/>
  <c r="P30" i="1" s="1"/>
  <c r="B174" i="3"/>
  <c r="I42" i="1"/>
  <c r="F42" i="1"/>
  <c r="D42" i="1"/>
  <c r="E42" i="1"/>
  <c r="G42" i="1"/>
  <c r="P42" i="1" s="1"/>
  <c r="B3" i="6"/>
  <c r="I49" i="1"/>
  <c r="F49" i="1"/>
  <c r="D49" i="1"/>
  <c r="E49" i="1"/>
  <c r="G49" i="1"/>
  <c r="P49" i="1" s="1"/>
  <c r="B9" i="4"/>
  <c r="I54" i="1"/>
  <c r="F54" i="1"/>
  <c r="D54" i="1"/>
  <c r="G54" i="1"/>
  <c r="P54" i="1" s="1"/>
  <c r="E54" i="1"/>
  <c r="B41" i="4"/>
  <c r="I58" i="1"/>
  <c r="F58" i="1"/>
  <c r="D58" i="1"/>
  <c r="G58" i="1"/>
  <c r="P58" i="1" s="1"/>
  <c r="E58" i="1"/>
  <c r="B71" i="4"/>
  <c r="I62" i="1"/>
  <c r="F62" i="1"/>
  <c r="D62" i="1"/>
  <c r="G62" i="1"/>
  <c r="P62" i="1" s="1"/>
  <c r="E62" i="1"/>
  <c r="B95" i="4"/>
  <c r="I66" i="1"/>
  <c r="F66" i="1"/>
  <c r="D66" i="1"/>
  <c r="G66" i="1"/>
  <c r="P66" i="1" s="1"/>
  <c r="E66" i="1"/>
  <c r="B117" i="4"/>
  <c r="I70" i="1"/>
  <c r="F70" i="1"/>
  <c r="D70" i="1"/>
  <c r="G70" i="1"/>
  <c r="P70" i="1" s="1"/>
  <c r="E70" i="1"/>
  <c r="B140" i="4"/>
  <c r="I74" i="1"/>
  <c r="F74" i="1"/>
  <c r="D74" i="1"/>
  <c r="G74" i="1"/>
  <c r="P74" i="1" s="1"/>
  <c r="E74" i="1"/>
  <c r="B160" i="4"/>
  <c r="I78" i="1"/>
  <c r="F78" i="1"/>
  <c r="D78" i="1"/>
  <c r="G78" i="1"/>
  <c r="P78" i="1" s="1"/>
  <c r="E78" i="1"/>
  <c r="B188" i="4"/>
  <c r="I82" i="1"/>
  <c r="F82" i="1"/>
  <c r="D82" i="1"/>
  <c r="G82" i="1"/>
  <c r="P82" i="1" s="1"/>
  <c r="E82" i="1"/>
  <c r="B214" i="4"/>
  <c r="I86" i="1"/>
  <c r="F86" i="1"/>
  <c r="D86" i="1"/>
  <c r="G86" i="1"/>
  <c r="P86" i="1" s="1"/>
  <c r="E86" i="1"/>
  <c r="B3" i="5"/>
  <c r="I4" i="1"/>
  <c r="F4" i="1"/>
  <c r="D4" i="1"/>
  <c r="G4" i="1"/>
  <c r="P4" i="1" s="1"/>
  <c r="E4" i="1"/>
  <c r="B3" i="7"/>
  <c r="I15" i="1"/>
  <c r="F15" i="1"/>
  <c r="D15" i="1"/>
  <c r="G15" i="1"/>
  <c r="P15" i="1" s="1"/>
  <c r="E15" i="1"/>
  <c r="B54" i="3"/>
  <c r="I20" i="1"/>
  <c r="F20" i="1"/>
  <c r="D20" i="1"/>
  <c r="G20" i="1"/>
  <c r="P20" i="1" s="1"/>
  <c r="E20" i="1"/>
  <c r="B97" i="3"/>
  <c r="I29" i="1"/>
  <c r="F29" i="1"/>
  <c r="D29" i="1"/>
  <c r="G29" i="1"/>
  <c r="P29" i="1" s="1"/>
  <c r="E29" i="1"/>
  <c r="B170" i="3"/>
  <c r="I34" i="1"/>
  <c r="F34" i="1"/>
  <c r="D34" i="1"/>
  <c r="G34" i="1"/>
  <c r="P34" i="1" s="1"/>
  <c r="E34" i="1"/>
  <c r="B201" i="3"/>
  <c r="I39" i="1"/>
  <c r="F39" i="1"/>
  <c r="D39" i="1"/>
  <c r="G39" i="1"/>
  <c r="P39" i="1" s="1"/>
  <c r="E39" i="1"/>
  <c r="B243" i="3"/>
  <c r="I52" i="1"/>
  <c r="F52" i="1"/>
  <c r="D52" i="1"/>
  <c r="G52" i="1"/>
  <c r="P52" i="1" s="1"/>
  <c r="E52" i="1"/>
  <c r="B23" i="4"/>
  <c r="O52" i="1" l="1"/>
  <c r="O39" i="1"/>
  <c r="O34" i="1"/>
  <c r="O29" i="1"/>
  <c r="O20" i="1"/>
  <c r="O15" i="1"/>
  <c r="O4" i="1"/>
  <c r="O86" i="1"/>
  <c r="O82" i="1"/>
  <c r="O78" i="1"/>
  <c r="O74" i="1"/>
  <c r="O70" i="1"/>
  <c r="O66" i="1"/>
  <c r="O62" i="1"/>
  <c r="O58" i="1"/>
  <c r="O54" i="1"/>
  <c r="O49" i="1"/>
  <c r="O42" i="1"/>
  <c r="O30" i="1"/>
  <c r="O24" i="1"/>
  <c r="O11" i="1"/>
  <c r="O7" i="1"/>
  <c r="O48" i="1"/>
  <c r="O37" i="1"/>
  <c r="O33" i="1"/>
  <c r="O26" i="1"/>
  <c r="O19" i="1"/>
  <c r="O13" i="1"/>
  <c r="O89" i="1"/>
  <c r="I206" i="4"/>
  <c r="F206" i="4" s="1"/>
  <c r="G206" i="4"/>
  <c r="C206" i="4"/>
  <c r="H206" i="4"/>
  <c r="D206" i="4"/>
  <c r="I115" i="4"/>
  <c r="F115" i="4" s="1"/>
  <c r="G115" i="4"/>
  <c r="C115" i="4"/>
  <c r="H115" i="4"/>
  <c r="D115" i="4"/>
  <c r="I84" i="4"/>
  <c r="F84" i="4" s="1"/>
  <c r="G84" i="4"/>
  <c r="C84" i="4"/>
  <c r="H84" i="4"/>
  <c r="D84" i="4"/>
  <c r="I202" i="4"/>
  <c r="F202" i="4" s="1"/>
  <c r="G202" i="4"/>
  <c r="C202" i="4"/>
  <c r="H202" i="4"/>
  <c r="D202" i="4"/>
  <c r="H125" i="4"/>
  <c r="G125" i="4"/>
  <c r="I125" i="4"/>
  <c r="F125" i="4" s="1"/>
  <c r="C125" i="4"/>
  <c r="D125" i="4"/>
  <c r="I109" i="4"/>
  <c r="F109" i="4" s="1"/>
  <c r="G109" i="4"/>
  <c r="C109" i="4"/>
  <c r="H109" i="4"/>
  <c r="D109" i="4"/>
  <c r="I82" i="4"/>
  <c r="F82" i="4" s="1"/>
  <c r="G82" i="4"/>
  <c r="C82" i="4"/>
  <c r="H82" i="4"/>
  <c r="D82" i="4"/>
  <c r="I56" i="4"/>
  <c r="F56" i="4" s="1"/>
  <c r="G56" i="4"/>
  <c r="C56" i="4"/>
  <c r="H56" i="4"/>
  <c r="D56" i="4"/>
  <c r="I18" i="4"/>
  <c r="F18" i="4" s="1"/>
  <c r="G18" i="4"/>
  <c r="C18" i="4"/>
  <c r="H18" i="4"/>
  <c r="D18" i="4"/>
  <c r="H18" i="6"/>
  <c r="G18" i="6"/>
  <c r="I18" i="6"/>
  <c r="F18" i="6" s="1"/>
  <c r="C18" i="6"/>
  <c r="D18" i="6"/>
  <c r="H249" i="3"/>
  <c r="G249" i="3"/>
  <c r="C249" i="3"/>
  <c r="I249" i="3"/>
  <c r="D249" i="3"/>
  <c r="I146" i="3"/>
  <c r="G146" i="3"/>
  <c r="C146" i="3"/>
  <c r="H146" i="3"/>
  <c r="D146" i="3"/>
  <c r="I62" i="3"/>
  <c r="G62" i="3"/>
  <c r="C62" i="3"/>
  <c r="H62" i="3"/>
  <c r="D62" i="3"/>
  <c r="H17" i="3"/>
  <c r="I17" i="3"/>
  <c r="G17" i="3"/>
  <c r="C17" i="3"/>
  <c r="D17" i="3"/>
  <c r="H8" i="6"/>
  <c r="I8" i="6"/>
  <c r="F8" i="6" s="1"/>
  <c r="C8" i="6"/>
  <c r="G8" i="6"/>
  <c r="D8" i="6"/>
  <c r="I206" i="3"/>
  <c r="G206" i="3"/>
  <c r="C206" i="3"/>
  <c r="H206" i="3"/>
  <c r="D206" i="3"/>
  <c r="I176" i="3"/>
  <c r="G176" i="3"/>
  <c r="C176" i="3"/>
  <c r="H176" i="3"/>
  <c r="D176" i="3"/>
  <c r="I102" i="3"/>
  <c r="G102" i="3"/>
  <c r="C102" i="3"/>
  <c r="H102" i="3"/>
  <c r="D102" i="3"/>
  <c r="I68" i="3"/>
  <c r="G68" i="3"/>
  <c r="C68" i="3"/>
  <c r="H68" i="3"/>
  <c r="D68" i="3"/>
  <c r="H3" i="3"/>
  <c r="I3" i="3"/>
  <c r="G3" i="3"/>
  <c r="C3" i="3"/>
  <c r="D3" i="3"/>
  <c r="I13" i="5"/>
  <c r="F13" i="5" s="1"/>
  <c r="G13" i="5"/>
  <c r="C13" i="5"/>
  <c r="H13" i="5"/>
  <c r="D13" i="5"/>
  <c r="I219" i="4"/>
  <c r="F219" i="4" s="1"/>
  <c r="G219" i="4"/>
  <c r="C219" i="4"/>
  <c r="H219" i="4"/>
  <c r="D219" i="4"/>
  <c r="H162" i="4"/>
  <c r="I162" i="4"/>
  <c r="F162" i="4" s="1"/>
  <c r="C162" i="4"/>
  <c r="G162" i="4"/>
  <c r="D162" i="4"/>
  <c r="H142" i="4"/>
  <c r="I142" i="4"/>
  <c r="F142" i="4" s="1"/>
  <c r="C142" i="4"/>
  <c r="G142" i="4"/>
  <c r="D142" i="4"/>
  <c r="H123" i="4"/>
  <c r="G123" i="4"/>
  <c r="C123" i="4"/>
  <c r="I123" i="4"/>
  <c r="F123" i="4" s="1"/>
  <c r="D123" i="4"/>
  <c r="I98" i="4"/>
  <c r="F98" i="4" s="1"/>
  <c r="G98" i="4"/>
  <c r="C98" i="4"/>
  <c r="H98" i="4"/>
  <c r="D98" i="4"/>
  <c r="I73" i="4"/>
  <c r="F73" i="4" s="1"/>
  <c r="G73" i="4"/>
  <c r="C73" i="4"/>
  <c r="H73" i="4"/>
  <c r="D73" i="4"/>
  <c r="I48" i="4"/>
  <c r="F48" i="4" s="1"/>
  <c r="G48" i="4"/>
  <c r="C48" i="4"/>
  <c r="H48" i="4"/>
  <c r="D48" i="4"/>
  <c r="I13" i="4"/>
  <c r="F13" i="4" s="1"/>
  <c r="G13" i="4"/>
  <c r="C13" i="4"/>
  <c r="H13" i="4"/>
  <c r="D13" i="4"/>
  <c r="I13" i="6"/>
  <c r="F13" i="6" s="1"/>
  <c r="G13" i="6"/>
  <c r="C13" i="6"/>
  <c r="H13" i="6"/>
  <c r="D13" i="6"/>
  <c r="H235" i="3"/>
  <c r="I235" i="3"/>
  <c r="C235" i="3"/>
  <c r="G235" i="3"/>
  <c r="D235" i="3"/>
  <c r="I127" i="3"/>
  <c r="G127" i="3"/>
  <c r="C127" i="3"/>
  <c r="H127" i="3"/>
  <c r="D127" i="3"/>
  <c r="H45" i="3"/>
  <c r="I45" i="3"/>
  <c r="G45" i="3"/>
  <c r="C45" i="3"/>
  <c r="D45" i="3"/>
  <c r="H13" i="3"/>
  <c r="I13" i="3"/>
  <c r="G13" i="3"/>
  <c r="C13" i="3"/>
  <c r="D13" i="3"/>
  <c r="H177" i="4"/>
  <c r="G177" i="4"/>
  <c r="I177" i="4"/>
  <c r="F177" i="4" s="1"/>
  <c r="C177" i="4"/>
  <c r="D177" i="4"/>
  <c r="H149" i="4"/>
  <c r="G149" i="4"/>
  <c r="I149" i="4"/>
  <c r="F149" i="4" s="1"/>
  <c r="C149" i="4"/>
  <c r="D149" i="4"/>
  <c r="H128" i="4"/>
  <c r="I128" i="4"/>
  <c r="F128" i="4" s="1"/>
  <c r="C128" i="4"/>
  <c r="G128" i="4"/>
  <c r="D128" i="4"/>
  <c r="I64" i="4"/>
  <c r="F64" i="4" s="1"/>
  <c r="G64" i="4"/>
  <c r="C64" i="4"/>
  <c r="H64" i="4"/>
  <c r="D64" i="4"/>
  <c r="I31" i="4"/>
  <c r="F31" i="4" s="1"/>
  <c r="G31" i="4"/>
  <c r="C31" i="4"/>
  <c r="H31" i="4"/>
  <c r="D31" i="4"/>
  <c r="I3" i="4"/>
  <c r="F3" i="4" s="1"/>
  <c r="G3" i="4"/>
  <c r="C3" i="4"/>
  <c r="H3" i="4"/>
  <c r="D3" i="4"/>
  <c r="O41" i="1"/>
  <c r="A41" i="1"/>
  <c r="O28" i="1"/>
  <c r="O21" i="1"/>
  <c r="O10" i="1"/>
  <c r="O46" i="1"/>
  <c r="A46" i="1"/>
  <c r="O36" i="1"/>
  <c r="O32" i="1"/>
  <c r="O23" i="1"/>
  <c r="O18" i="1"/>
  <c r="O12" i="1"/>
  <c r="I223" i="4"/>
  <c r="F223" i="4" s="1"/>
  <c r="G223" i="4"/>
  <c r="C223" i="4"/>
  <c r="H223" i="4"/>
  <c r="D223" i="4"/>
  <c r="H166" i="4"/>
  <c r="I166" i="4"/>
  <c r="F166" i="4" s="1"/>
  <c r="C166" i="4"/>
  <c r="G166" i="4"/>
  <c r="D166" i="4"/>
  <c r="H147" i="4"/>
  <c r="G147" i="4"/>
  <c r="C147" i="4"/>
  <c r="I147" i="4"/>
  <c r="F147" i="4" s="1"/>
  <c r="D147" i="4"/>
  <c r="H196" i="4"/>
  <c r="I196" i="4"/>
  <c r="F196" i="4" s="1"/>
  <c r="C196" i="4"/>
  <c r="G196" i="4"/>
  <c r="D196" i="4"/>
  <c r="I23" i="4"/>
  <c r="F23" i="4" s="1"/>
  <c r="G23" i="4"/>
  <c r="C23" i="4"/>
  <c r="H23" i="4"/>
  <c r="D23" i="4"/>
  <c r="H243" i="3"/>
  <c r="I243" i="3"/>
  <c r="C243" i="3"/>
  <c r="G243" i="3"/>
  <c r="D243" i="3"/>
  <c r="H201" i="3"/>
  <c r="G201" i="3"/>
  <c r="I201" i="3"/>
  <c r="C201" i="3"/>
  <c r="D201" i="3"/>
  <c r="I170" i="3"/>
  <c r="G170" i="3"/>
  <c r="C170" i="3"/>
  <c r="H170" i="3"/>
  <c r="D170" i="3"/>
  <c r="H97" i="3"/>
  <c r="I97" i="3"/>
  <c r="C97" i="3"/>
  <c r="G97" i="3"/>
  <c r="D97" i="3"/>
  <c r="I54" i="3"/>
  <c r="G54" i="3"/>
  <c r="C54" i="3"/>
  <c r="H54" i="3"/>
  <c r="D54" i="3"/>
  <c r="I3" i="7"/>
  <c r="F3" i="7" s="1"/>
  <c r="G3" i="7"/>
  <c r="C3" i="7"/>
  <c r="H3" i="7"/>
  <c r="D3" i="7"/>
  <c r="I3" i="5"/>
  <c r="F3" i="5" s="1"/>
  <c r="G3" i="5"/>
  <c r="C3" i="5"/>
  <c r="H3" i="5"/>
  <c r="D3" i="5"/>
  <c r="I214" i="4"/>
  <c r="F214" i="4" s="1"/>
  <c r="G214" i="4"/>
  <c r="C214" i="4"/>
  <c r="H214" i="4"/>
  <c r="D214" i="4"/>
  <c r="H188" i="4"/>
  <c r="I188" i="4"/>
  <c r="F188" i="4" s="1"/>
  <c r="C188" i="4"/>
  <c r="G188" i="4"/>
  <c r="D188" i="4"/>
  <c r="H160" i="4"/>
  <c r="I160" i="4"/>
  <c r="F160" i="4" s="1"/>
  <c r="C160" i="4"/>
  <c r="G160" i="4"/>
  <c r="D160" i="4"/>
  <c r="H140" i="4"/>
  <c r="I140" i="4"/>
  <c r="F140" i="4" s="1"/>
  <c r="C140" i="4"/>
  <c r="G140" i="4"/>
  <c r="D140" i="4"/>
  <c r="I117" i="4"/>
  <c r="F117" i="4" s="1"/>
  <c r="G117" i="4"/>
  <c r="C117" i="4"/>
  <c r="H117" i="4"/>
  <c r="D117" i="4"/>
  <c r="I95" i="4"/>
  <c r="F95" i="4" s="1"/>
  <c r="G95" i="4"/>
  <c r="C95" i="4"/>
  <c r="H95" i="4"/>
  <c r="D95" i="4"/>
  <c r="I71" i="4"/>
  <c r="F71" i="4" s="1"/>
  <c r="G71" i="4"/>
  <c r="C71" i="4"/>
  <c r="H71" i="4"/>
  <c r="D71" i="4"/>
  <c r="I41" i="4"/>
  <c r="F41" i="4" s="1"/>
  <c r="G41" i="4"/>
  <c r="C41" i="4"/>
  <c r="H41" i="4"/>
  <c r="D41" i="4"/>
  <c r="I9" i="4"/>
  <c r="F9" i="4" s="1"/>
  <c r="G9" i="4"/>
  <c r="C9" i="4"/>
  <c r="H9" i="4"/>
  <c r="D9" i="4"/>
  <c r="I3" i="6"/>
  <c r="F3" i="6" s="1"/>
  <c r="G3" i="6"/>
  <c r="C3" i="6"/>
  <c r="H3" i="6"/>
  <c r="D3" i="6"/>
  <c r="I174" i="3"/>
  <c r="G174" i="3"/>
  <c r="C174" i="3"/>
  <c r="H174" i="3"/>
  <c r="D174" i="3"/>
  <c r="H119" i="3"/>
  <c r="G119" i="3"/>
  <c r="I119" i="3"/>
  <c r="C119" i="3"/>
  <c r="D119" i="3"/>
  <c r="H29" i="3"/>
  <c r="I29" i="3"/>
  <c r="G29" i="3"/>
  <c r="C29" i="3"/>
  <c r="D29" i="3"/>
  <c r="H9" i="3"/>
  <c r="I9" i="3"/>
  <c r="G9" i="3"/>
  <c r="C9" i="3"/>
  <c r="D9" i="3"/>
  <c r="I5" i="4"/>
  <c r="F5" i="4" s="1"/>
  <c r="G5" i="4"/>
  <c r="C5" i="4"/>
  <c r="H5" i="4"/>
  <c r="D5" i="4"/>
  <c r="H223" i="3"/>
  <c r="I223" i="3"/>
  <c r="C223" i="3"/>
  <c r="G223" i="3"/>
  <c r="D223" i="3"/>
  <c r="I196" i="3"/>
  <c r="G196" i="3"/>
  <c r="C196" i="3"/>
  <c r="H196" i="3"/>
  <c r="D196" i="3"/>
  <c r="H134" i="3"/>
  <c r="I134" i="3"/>
  <c r="G134" i="3"/>
  <c r="C134" i="3"/>
  <c r="D134" i="3"/>
  <c r="I90" i="3"/>
  <c r="G90" i="3"/>
  <c r="C90" i="3"/>
  <c r="H90" i="3"/>
  <c r="D90" i="3"/>
  <c r="I40" i="3"/>
  <c r="G40" i="3"/>
  <c r="C40" i="3"/>
  <c r="H40" i="3"/>
  <c r="D40" i="3"/>
  <c r="H3" i="8"/>
  <c r="I3" i="8"/>
  <c r="F3" i="8" s="1"/>
  <c r="C3" i="8"/>
  <c r="G3" i="8"/>
  <c r="D3" i="8"/>
  <c r="A85" i="1"/>
  <c r="O85" i="1"/>
  <c r="O81" i="1"/>
  <c r="O77" i="1"/>
  <c r="O73" i="1"/>
  <c r="O69" i="1"/>
  <c r="O65" i="1"/>
  <c r="O61" i="1"/>
  <c r="O57" i="1"/>
  <c r="O53" i="1"/>
  <c r="O47" i="1"/>
  <c r="I158" i="3"/>
  <c r="G158" i="3"/>
  <c r="C158" i="3"/>
  <c r="H158" i="3"/>
  <c r="D158" i="3"/>
  <c r="H99" i="3"/>
  <c r="G99" i="3"/>
  <c r="I99" i="3"/>
  <c r="C99" i="3"/>
  <c r="D99" i="3"/>
  <c r="I24" i="3"/>
  <c r="G24" i="3"/>
  <c r="C24" i="3"/>
  <c r="H24" i="3"/>
  <c r="D24" i="3"/>
  <c r="O5" i="1"/>
  <c r="A5" i="1"/>
  <c r="H213" i="3"/>
  <c r="G213" i="3"/>
  <c r="I213" i="3"/>
  <c r="C213" i="3"/>
  <c r="D213" i="3"/>
  <c r="I188" i="3"/>
  <c r="G188" i="3"/>
  <c r="C188" i="3"/>
  <c r="H188" i="3"/>
  <c r="D188" i="3"/>
  <c r="H107" i="3"/>
  <c r="G107" i="3"/>
  <c r="I107" i="3"/>
  <c r="C107" i="3"/>
  <c r="D107" i="3"/>
  <c r="H79" i="3"/>
  <c r="G79" i="3"/>
  <c r="I79" i="3"/>
  <c r="C79" i="3"/>
  <c r="D79" i="3"/>
  <c r="H37" i="3"/>
  <c r="I37" i="3"/>
  <c r="G37" i="3"/>
  <c r="C37" i="3"/>
  <c r="D37" i="3"/>
  <c r="A88" i="1"/>
  <c r="O88" i="1"/>
  <c r="O84" i="1"/>
  <c r="O80" i="1"/>
  <c r="O76" i="1"/>
  <c r="O72" i="1"/>
  <c r="O68" i="1"/>
  <c r="O64" i="1"/>
  <c r="O60" i="1"/>
  <c r="O56" i="1"/>
  <c r="O51" i="1"/>
  <c r="O45" i="1"/>
  <c r="O40" i="1"/>
  <c r="O27" i="1"/>
  <c r="O16" i="1"/>
  <c r="O9" i="1"/>
  <c r="A3" i="1"/>
  <c r="O3" i="1"/>
  <c r="O43" i="1"/>
  <c r="O35" i="1"/>
  <c r="O31" i="1"/>
  <c r="O22" i="1"/>
  <c r="O17" i="1"/>
  <c r="O6" i="1"/>
  <c r="O87" i="1"/>
  <c r="O83" i="1"/>
  <c r="O79" i="1"/>
  <c r="O75" i="1"/>
  <c r="O71" i="1"/>
  <c r="O67" i="1"/>
  <c r="O63" i="1"/>
  <c r="O59" i="1"/>
  <c r="O55" i="1"/>
  <c r="O50" i="1"/>
  <c r="O44" i="1"/>
  <c r="O38" i="1"/>
  <c r="O25" i="1"/>
  <c r="O14" i="1"/>
  <c r="O8" i="1"/>
  <c r="L52" i="1"/>
  <c r="K52" i="1"/>
  <c r="J52" i="1"/>
  <c r="M52" i="1"/>
  <c r="N52" i="1"/>
  <c r="L39" i="1"/>
  <c r="J39" i="1"/>
  <c r="K39" i="1"/>
  <c r="M39" i="1"/>
  <c r="N39" i="1"/>
  <c r="K34" i="1"/>
  <c r="J34" i="1"/>
  <c r="N34" i="1"/>
  <c r="L34" i="1"/>
  <c r="M34" i="1"/>
  <c r="J29" i="1"/>
  <c r="N29" i="1"/>
  <c r="L29" i="1"/>
  <c r="K29" i="1"/>
  <c r="M29" i="1"/>
  <c r="N20" i="1"/>
  <c r="J20" i="1"/>
  <c r="K20" i="1"/>
  <c r="L20" i="1"/>
  <c r="M20" i="1"/>
  <c r="N15" i="1"/>
  <c r="M15" i="1"/>
  <c r="J15" i="1"/>
  <c r="L15" i="1"/>
  <c r="K15" i="1"/>
  <c r="N4" i="1"/>
  <c r="J4" i="1"/>
  <c r="M4" i="1"/>
  <c r="K4" i="1"/>
  <c r="L4" i="1"/>
  <c r="J86" i="1"/>
  <c r="N86" i="1"/>
  <c r="M86" i="1"/>
  <c r="L86" i="1"/>
  <c r="K86" i="1"/>
  <c r="L82" i="1"/>
  <c r="J82" i="1"/>
  <c r="M82" i="1"/>
  <c r="K82" i="1"/>
  <c r="N82" i="1"/>
  <c r="J78" i="1"/>
  <c r="K78" i="1"/>
  <c r="N78" i="1"/>
  <c r="M78" i="1"/>
  <c r="L78" i="1"/>
  <c r="A74" i="1"/>
  <c r="J70" i="1"/>
  <c r="K70" i="1"/>
  <c r="N70" i="1"/>
  <c r="M70" i="1"/>
  <c r="L70" i="1"/>
  <c r="J66" i="1"/>
  <c r="K66" i="1"/>
  <c r="M66" i="1"/>
  <c r="L66" i="1"/>
  <c r="N66" i="1"/>
  <c r="L62" i="1"/>
  <c r="J62" i="1"/>
  <c r="N62" i="1"/>
  <c r="K62" i="1"/>
  <c r="M62" i="1"/>
  <c r="N58" i="1"/>
  <c r="J58" i="1"/>
  <c r="K58" i="1"/>
  <c r="M58" i="1"/>
  <c r="L58" i="1"/>
  <c r="M54" i="1"/>
  <c r="N54" i="1"/>
  <c r="K54" i="1"/>
  <c r="L54" i="1"/>
  <c r="J54" i="1"/>
  <c r="N49" i="1"/>
  <c r="M49" i="1"/>
  <c r="J49" i="1"/>
  <c r="K49" i="1"/>
  <c r="L49" i="1"/>
  <c r="K42" i="1"/>
  <c r="L42" i="1"/>
  <c r="M42" i="1"/>
  <c r="J42" i="1"/>
  <c r="N42" i="1"/>
  <c r="L30" i="1"/>
  <c r="N30" i="1"/>
  <c r="K30" i="1"/>
  <c r="J30" i="1"/>
  <c r="M30" i="1"/>
  <c r="L24" i="1"/>
  <c r="J24" i="1"/>
  <c r="N24" i="1"/>
  <c r="K24" i="1"/>
  <c r="M24" i="1"/>
  <c r="M11" i="1"/>
  <c r="K11" i="1"/>
  <c r="J11" i="1"/>
  <c r="L11" i="1"/>
  <c r="N11" i="1"/>
  <c r="J7" i="1"/>
  <c r="K7" i="1"/>
  <c r="M7" i="1"/>
  <c r="N7" i="1"/>
  <c r="L7" i="1"/>
  <c r="L48" i="1"/>
  <c r="K48" i="1"/>
  <c r="J48" i="1"/>
  <c r="M48" i="1"/>
  <c r="N48" i="1"/>
  <c r="J37" i="1"/>
  <c r="L37" i="1"/>
  <c r="N37" i="1"/>
  <c r="M37" i="1"/>
  <c r="K37" i="1"/>
  <c r="A33" i="1"/>
  <c r="N26" i="1"/>
  <c r="L26" i="1"/>
  <c r="K26" i="1"/>
  <c r="J26" i="1"/>
  <c r="M26" i="1"/>
  <c r="K19" i="1"/>
  <c r="L19" i="1"/>
  <c r="N19" i="1"/>
  <c r="M19" i="1"/>
  <c r="J19" i="1"/>
  <c r="M13" i="1"/>
  <c r="N13" i="1"/>
  <c r="J13" i="1"/>
  <c r="K13" i="1"/>
  <c r="L13" i="1"/>
  <c r="J89" i="1"/>
  <c r="K89" i="1"/>
  <c r="L89" i="1"/>
  <c r="M89" i="1"/>
  <c r="N89" i="1"/>
  <c r="N41" i="1"/>
  <c r="J41" i="1"/>
  <c r="M41" i="1"/>
  <c r="K41" i="1"/>
  <c r="L41" i="1"/>
  <c r="J28" i="1"/>
  <c r="K28" i="1"/>
  <c r="L28" i="1"/>
  <c r="N28" i="1"/>
  <c r="M28" i="1"/>
  <c r="M21" i="1"/>
  <c r="L21" i="1"/>
  <c r="N21" i="1"/>
  <c r="J21" i="1"/>
  <c r="K21" i="1"/>
  <c r="N10" i="1"/>
  <c r="M10" i="1"/>
  <c r="K10" i="1"/>
  <c r="J10" i="1"/>
  <c r="L10" i="1"/>
  <c r="J46" i="1"/>
  <c r="N46" i="1"/>
  <c r="L46" i="1"/>
  <c r="K46" i="1"/>
  <c r="M46" i="1"/>
  <c r="K36" i="1"/>
  <c r="L36" i="1"/>
  <c r="M36" i="1"/>
  <c r="N36" i="1"/>
  <c r="J36" i="1"/>
  <c r="M32" i="1"/>
  <c r="L32" i="1"/>
  <c r="J32" i="1"/>
  <c r="N32" i="1"/>
  <c r="K32" i="1"/>
  <c r="J23" i="1"/>
  <c r="M23" i="1"/>
  <c r="L23" i="1"/>
  <c r="N23" i="1"/>
  <c r="K23" i="1"/>
  <c r="J18" i="1"/>
  <c r="M18" i="1"/>
  <c r="L18" i="1"/>
  <c r="N18" i="1"/>
  <c r="K18" i="1"/>
  <c r="E3" i="7"/>
  <c r="J74" i="1"/>
  <c r="M74" i="1"/>
  <c r="N74" i="1"/>
  <c r="L74" i="1"/>
  <c r="K74" i="1"/>
  <c r="J33" i="1"/>
  <c r="L33" i="1"/>
  <c r="K33" i="1"/>
  <c r="N33" i="1"/>
  <c r="M33" i="1"/>
  <c r="E8" i="3"/>
  <c r="E12" i="3"/>
  <c r="E16" i="3"/>
  <c r="E24" i="3"/>
  <c r="E28" i="3"/>
  <c r="E36" i="3"/>
  <c r="E40" i="3"/>
  <c r="E44" i="3"/>
  <c r="E54" i="3"/>
  <c r="E68" i="3"/>
  <c r="E96" i="3"/>
  <c r="E3" i="3"/>
  <c r="E9" i="3"/>
  <c r="E13" i="3"/>
  <c r="E17" i="3"/>
  <c r="E23" i="3"/>
  <c r="E25" i="3"/>
  <c r="E29" i="3"/>
  <c r="E37" i="3"/>
  <c r="E39" i="3"/>
  <c r="E41" i="3"/>
  <c r="E45" i="3"/>
  <c r="E53" i="3"/>
  <c r="E55" i="3"/>
  <c r="E62" i="3"/>
  <c r="E78" i="3"/>
  <c r="E90" i="3"/>
  <c r="E98" i="3"/>
  <c r="E102" i="3"/>
  <c r="E106" i="3"/>
  <c r="E118" i="3"/>
  <c r="E61" i="3"/>
  <c r="E63" i="3"/>
  <c r="E67" i="3"/>
  <c r="E69" i="3"/>
  <c r="E79" i="3"/>
  <c r="E89" i="3"/>
  <c r="E91" i="3"/>
  <c r="E97" i="3"/>
  <c r="E99" i="3"/>
  <c r="E101" i="3"/>
  <c r="E103" i="3"/>
  <c r="E107" i="3"/>
  <c r="E119" i="3"/>
  <c r="E127" i="3"/>
  <c r="E133" i="3"/>
  <c r="E146" i="3"/>
  <c r="E170" i="3"/>
  <c r="E126" i="3"/>
  <c r="E128" i="3"/>
  <c r="E134" i="3"/>
  <c r="E158" i="3"/>
  <c r="E174" i="3"/>
  <c r="E206" i="3"/>
  <c r="E222" i="3"/>
  <c r="E234" i="3"/>
  <c r="E242" i="3"/>
  <c r="E262" i="3"/>
  <c r="E176" i="3"/>
  <c r="E188" i="3"/>
  <c r="E196" i="3"/>
  <c r="E200" i="3"/>
  <c r="E212" i="3"/>
  <c r="E258" i="3"/>
  <c r="E266" i="3"/>
  <c r="E145" i="3"/>
  <c r="E147" i="3"/>
  <c r="E157" i="3"/>
  <c r="E159" i="3"/>
  <c r="E169" i="3"/>
  <c r="E171" i="3"/>
  <c r="E173" i="3"/>
  <c r="E175" i="3"/>
  <c r="E177" i="3"/>
  <c r="E187" i="3"/>
  <c r="E189" i="3"/>
  <c r="E195" i="3"/>
  <c r="E197" i="3"/>
  <c r="E201" i="3"/>
  <c r="E205" i="3"/>
  <c r="E207" i="3"/>
  <c r="E213" i="3"/>
  <c r="E223" i="3"/>
  <c r="E235" i="3"/>
  <c r="E243" i="3"/>
  <c r="E248" i="3"/>
  <c r="E256" i="3"/>
  <c r="E260" i="3"/>
  <c r="E264" i="3"/>
  <c r="E268" i="3"/>
  <c r="E249" i="3"/>
  <c r="E255" i="3"/>
  <c r="E257" i="3"/>
  <c r="E259" i="3"/>
  <c r="E261" i="3"/>
  <c r="E263" i="3"/>
  <c r="E265" i="3"/>
  <c r="E267" i="3"/>
  <c r="E269" i="3"/>
  <c r="E3" i="4"/>
  <c r="E23" i="4"/>
  <c r="E31" i="4"/>
  <c r="E47" i="4"/>
  <c r="E5" i="4"/>
  <c r="E9" i="4"/>
  <c r="E13" i="4"/>
  <c r="E17" i="4"/>
  <c r="E41" i="4"/>
  <c r="E55" i="4"/>
  <c r="E63" i="4"/>
  <c r="E71" i="4"/>
  <c r="E83" i="4"/>
  <c r="E95" i="4"/>
  <c r="E115" i="4"/>
  <c r="E73" i="4"/>
  <c r="E81" i="4"/>
  <c r="E97" i="4"/>
  <c r="E109" i="4"/>
  <c r="E117" i="4"/>
  <c r="E205" i="4"/>
  <c r="E213" i="4"/>
  <c r="E4" i="4"/>
  <c r="E6" i="4"/>
  <c r="E8" i="4"/>
  <c r="E10" i="4"/>
  <c r="E12" i="4"/>
  <c r="E14" i="4"/>
  <c r="E18" i="4"/>
  <c r="E22" i="4"/>
  <c r="E24" i="4"/>
  <c r="E30" i="4"/>
  <c r="E32" i="4"/>
  <c r="E40" i="4"/>
  <c r="E42" i="4"/>
  <c r="E48" i="4"/>
  <c r="E56" i="4"/>
  <c r="E64" i="4"/>
  <c r="E70" i="4"/>
  <c r="E72" i="4"/>
  <c r="E74" i="4"/>
  <c r="E82" i="4"/>
  <c r="E84" i="4"/>
  <c r="E94" i="4"/>
  <c r="E96" i="4"/>
  <c r="E98" i="4"/>
  <c r="E108" i="4"/>
  <c r="E110" i="4"/>
  <c r="E114" i="4"/>
  <c r="E116" i="4"/>
  <c r="E118" i="4"/>
  <c r="E201" i="4"/>
  <c r="E219" i="4"/>
  <c r="E223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2" i="4"/>
  <c r="E206" i="4"/>
  <c r="E214" i="4"/>
  <c r="E218" i="4"/>
  <c r="E220" i="4"/>
  <c r="E222" i="4"/>
  <c r="E224" i="4"/>
  <c r="A28" i="1"/>
  <c r="A21" i="1"/>
  <c r="A10" i="1"/>
  <c r="A36" i="1"/>
  <c r="A32" i="1"/>
  <c r="A23" i="1"/>
  <c r="A18" i="1"/>
  <c r="K12" i="1"/>
  <c r="M12" i="1"/>
  <c r="N12" i="1"/>
  <c r="L12" i="1"/>
  <c r="J12" i="1"/>
  <c r="E3" i="5"/>
  <c r="E20" i="5"/>
  <c r="E13" i="5"/>
  <c r="E4" i="5"/>
  <c r="E12" i="5"/>
  <c r="E14" i="5"/>
  <c r="E22" i="5"/>
  <c r="E21" i="5"/>
  <c r="E23" i="5"/>
  <c r="E3" i="6"/>
  <c r="E7" i="6"/>
  <c r="E13" i="6"/>
  <c r="E17" i="6"/>
  <c r="E4" i="6"/>
  <c r="E8" i="6"/>
  <c r="E12" i="6"/>
  <c r="E14" i="6"/>
  <c r="E18" i="6"/>
  <c r="K81" i="1"/>
  <c r="N81" i="1"/>
  <c r="J81" i="1"/>
  <c r="L81" i="1"/>
  <c r="M81" i="1"/>
  <c r="L77" i="1"/>
  <c r="J77" i="1"/>
  <c r="K77" i="1"/>
  <c r="N77" i="1"/>
  <c r="M77" i="1"/>
  <c r="L73" i="1"/>
  <c r="J73" i="1"/>
  <c r="K73" i="1"/>
  <c r="N73" i="1"/>
  <c r="M73" i="1"/>
  <c r="M65" i="1"/>
  <c r="K65" i="1"/>
  <c r="L65" i="1"/>
  <c r="J65" i="1"/>
  <c r="N65" i="1"/>
  <c r="L61" i="1"/>
  <c r="J61" i="1"/>
  <c r="N61" i="1"/>
  <c r="K61" i="1"/>
  <c r="M61" i="1"/>
  <c r="L57" i="1"/>
  <c r="M57" i="1"/>
  <c r="K57" i="1"/>
  <c r="N57" i="1"/>
  <c r="J57" i="1"/>
  <c r="N53" i="1"/>
  <c r="K53" i="1"/>
  <c r="J53" i="1"/>
  <c r="M53" i="1"/>
  <c r="L53" i="1"/>
  <c r="M47" i="1"/>
  <c r="L47" i="1"/>
  <c r="N47" i="1"/>
  <c r="J47" i="1"/>
  <c r="K47" i="1"/>
  <c r="J80" i="1"/>
  <c r="L80" i="1"/>
  <c r="K80" i="1"/>
  <c r="M80" i="1"/>
  <c r="N80" i="1"/>
  <c r="M76" i="1"/>
  <c r="J76" i="1"/>
  <c r="N76" i="1"/>
  <c r="L76" i="1"/>
  <c r="K76" i="1"/>
  <c r="K72" i="1"/>
  <c r="M72" i="1"/>
  <c r="L72" i="1"/>
  <c r="J72" i="1"/>
  <c r="N72" i="1"/>
  <c r="L68" i="1"/>
  <c r="N68" i="1"/>
  <c r="M68" i="1"/>
  <c r="K68" i="1"/>
  <c r="J68" i="1"/>
  <c r="J64" i="1"/>
  <c r="L64" i="1"/>
  <c r="K64" i="1"/>
  <c r="M64" i="1"/>
  <c r="N64" i="1"/>
  <c r="L60" i="1"/>
  <c r="N60" i="1"/>
  <c r="K60" i="1"/>
  <c r="M60" i="1"/>
  <c r="J60" i="1"/>
  <c r="K56" i="1"/>
  <c r="J56" i="1"/>
  <c r="L56" i="1"/>
  <c r="M56" i="1"/>
  <c r="N56" i="1"/>
  <c r="K51" i="1"/>
  <c r="L51" i="1"/>
  <c r="M51" i="1"/>
  <c r="N51" i="1"/>
  <c r="J51" i="1"/>
  <c r="J45" i="1"/>
  <c r="K45" i="1"/>
  <c r="L45" i="1"/>
  <c r="N45" i="1"/>
  <c r="M45" i="1"/>
  <c r="L40" i="1"/>
  <c r="M40" i="1"/>
  <c r="J40" i="1"/>
  <c r="K40" i="1"/>
  <c r="N40" i="1"/>
  <c r="J27" i="1"/>
  <c r="M27" i="1"/>
  <c r="K27" i="1"/>
  <c r="N27" i="1"/>
  <c r="L27" i="1"/>
  <c r="J16" i="1"/>
  <c r="M16" i="1"/>
  <c r="L16" i="1"/>
  <c r="N16" i="1"/>
  <c r="K16" i="1"/>
  <c r="K9" i="1"/>
  <c r="N9" i="1"/>
  <c r="L9" i="1"/>
  <c r="J9" i="1"/>
  <c r="M9" i="1"/>
  <c r="J35" i="1"/>
  <c r="L35" i="1"/>
  <c r="N35" i="1"/>
  <c r="M35" i="1"/>
  <c r="K35" i="1"/>
  <c r="J31" i="1"/>
  <c r="N31" i="1"/>
  <c r="L31" i="1"/>
  <c r="K31" i="1"/>
  <c r="M31" i="1"/>
  <c r="L22" i="1"/>
  <c r="N22" i="1"/>
  <c r="J22" i="1"/>
  <c r="K22" i="1"/>
  <c r="M22" i="1"/>
  <c r="J17" i="1"/>
  <c r="M17" i="1"/>
  <c r="N17" i="1"/>
  <c r="L17" i="1"/>
  <c r="K17" i="1"/>
  <c r="K6" i="1"/>
  <c r="L6" i="1"/>
  <c r="J6" i="1"/>
  <c r="M6" i="1"/>
  <c r="N6" i="1"/>
  <c r="L87" i="1"/>
  <c r="N87" i="1"/>
  <c r="K87" i="1"/>
  <c r="M87" i="1"/>
  <c r="J87" i="1"/>
  <c r="N83" i="1"/>
  <c r="L83" i="1"/>
  <c r="M83" i="1"/>
  <c r="K83" i="1"/>
  <c r="J83" i="1"/>
  <c r="N79" i="1"/>
  <c r="J79" i="1"/>
  <c r="K79" i="1"/>
  <c r="L79" i="1"/>
  <c r="M79" i="1"/>
  <c r="L75" i="1"/>
  <c r="M75" i="1"/>
  <c r="J75" i="1"/>
  <c r="N75" i="1"/>
  <c r="K75" i="1"/>
  <c r="M71" i="1"/>
  <c r="K71" i="1"/>
  <c r="N71" i="1"/>
  <c r="J71" i="1"/>
  <c r="L71" i="1"/>
  <c r="L67" i="1"/>
  <c r="J67" i="1"/>
  <c r="K67" i="1"/>
  <c r="M67" i="1"/>
  <c r="N67" i="1"/>
  <c r="N63" i="1"/>
  <c r="M63" i="1"/>
  <c r="L63" i="1"/>
  <c r="K63" i="1"/>
  <c r="J63" i="1"/>
  <c r="L55" i="1"/>
  <c r="J55" i="1"/>
  <c r="M55" i="1"/>
  <c r="N55" i="1"/>
  <c r="K55" i="1"/>
  <c r="N50" i="1"/>
  <c r="J50" i="1"/>
  <c r="M50" i="1"/>
  <c r="L50" i="1"/>
  <c r="K50" i="1"/>
  <c r="K44" i="1"/>
  <c r="M44" i="1"/>
  <c r="N44" i="1"/>
  <c r="J44" i="1"/>
  <c r="L44" i="1"/>
  <c r="L38" i="1"/>
  <c r="K38" i="1"/>
  <c r="M38" i="1"/>
  <c r="J38" i="1"/>
  <c r="N38" i="1"/>
  <c r="N25" i="1"/>
  <c r="J25" i="1"/>
  <c r="K25" i="1"/>
  <c r="L25" i="1"/>
  <c r="M25" i="1"/>
  <c r="K14" i="1"/>
  <c r="M14" i="1"/>
  <c r="L14" i="1"/>
  <c r="J14" i="1"/>
  <c r="N14" i="1"/>
  <c r="L8" i="1"/>
  <c r="J8" i="1"/>
  <c r="K8" i="1"/>
  <c r="M8" i="1"/>
  <c r="N8" i="1"/>
  <c r="E4" i="8"/>
  <c r="E3" i="8"/>
  <c r="J85" i="1"/>
  <c r="K85" i="1"/>
  <c r="M85" i="1"/>
  <c r="N85" i="1"/>
  <c r="L85" i="1"/>
  <c r="A81" i="1"/>
  <c r="A77" i="1"/>
  <c r="A73" i="1"/>
  <c r="K69" i="1"/>
  <c r="N69" i="1"/>
  <c r="J69" i="1"/>
  <c r="M69" i="1"/>
  <c r="L69" i="1"/>
  <c r="A65" i="1"/>
  <c r="A61" i="1"/>
  <c r="A57" i="1"/>
  <c r="A53" i="1"/>
  <c r="A47" i="1"/>
  <c r="N5" i="1"/>
  <c r="M5" i="1"/>
  <c r="L5" i="1"/>
  <c r="J5" i="1"/>
  <c r="K5" i="1"/>
  <c r="J88" i="1"/>
  <c r="K88" i="1"/>
  <c r="N88" i="1"/>
  <c r="L88" i="1"/>
  <c r="M88" i="1"/>
  <c r="M84" i="1"/>
  <c r="N84" i="1"/>
  <c r="J84" i="1"/>
  <c r="K84" i="1"/>
  <c r="L84" i="1"/>
  <c r="A80" i="1"/>
  <c r="A76" i="1"/>
  <c r="A72" i="1"/>
  <c r="A68" i="1"/>
  <c r="A64" i="1"/>
  <c r="A60" i="1"/>
  <c r="A56" i="1"/>
  <c r="A51" i="1"/>
  <c r="A45" i="1"/>
  <c r="A40" i="1"/>
  <c r="A27" i="1"/>
  <c r="A16" i="1"/>
  <c r="A9" i="1"/>
  <c r="L3" i="1"/>
  <c r="J3" i="1"/>
  <c r="K3" i="1"/>
  <c r="M3" i="1"/>
  <c r="N3" i="1"/>
  <c r="J43" i="1"/>
  <c r="M43" i="1"/>
  <c r="K43" i="1"/>
  <c r="N43" i="1"/>
  <c r="L43" i="1"/>
  <c r="A35" i="1"/>
  <c r="A31" i="1"/>
  <c r="A22" i="1"/>
  <c r="A17" i="1"/>
  <c r="A6" i="1"/>
  <c r="A87" i="1"/>
  <c r="A83" i="1"/>
  <c r="A79" i="1"/>
  <c r="A75" i="1"/>
  <c r="A71" i="1"/>
  <c r="A67" i="1"/>
  <c r="A63" i="1"/>
  <c r="L59" i="1"/>
  <c r="M59" i="1"/>
  <c r="N59" i="1"/>
  <c r="J59" i="1"/>
  <c r="K59" i="1"/>
  <c r="A55" i="1"/>
  <c r="A50" i="1"/>
  <c r="A44" i="1"/>
  <c r="A38" i="1"/>
  <c r="A25" i="1"/>
  <c r="A14" i="1"/>
  <c r="A8" i="1"/>
  <c r="A52" i="1"/>
  <c r="A34" i="1"/>
  <c r="A20" i="1"/>
  <c r="A4" i="1"/>
  <c r="A82" i="1"/>
  <c r="A66" i="1"/>
  <c r="A58" i="1"/>
  <c r="A49" i="1"/>
  <c r="A30" i="1"/>
  <c r="A11" i="1"/>
  <c r="A48" i="1"/>
  <c r="A19" i="1"/>
  <c r="A89" i="1"/>
  <c r="A39" i="1"/>
  <c r="A29" i="1"/>
  <c r="A15" i="1"/>
  <c r="A86" i="1"/>
  <c r="A78" i="1"/>
  <c r="A70" i="1"/>
  <c r="A62" i="1"/>
  <c r="A54" i="1"/>
  <c r="A42" i="1"/>
  <c r="A24" i="1"/>
  <c r="A7" i="1"/>
  <c r="A37" i="1"/>
  <c r="A26" i="1"/>
  <c r="A13" i="1"/>
  <c r="E4" i="3"/>
  <c r="E10" i="3"/>
  <c r="E14" i="3"/>
  <c r="E18" i="3"/>
  <c r="E26" i="3"/>
  <c r="E30" i="3"/>
  <c r="E38" i="3"/>
  <c r="E42" i="3"/>
  <c r="E46" i="3"/>
  <c r="E56" i="3"/>
  <c r="E64" i="3"/>
  <c r="E70" i="3"/>
  <c r="E80" i="3"/>
  <c r="E92" i="3"/>
  <c r="E100" i="3"/>
  <c r="E104" i="3"/>
  <c r="E108" i="3"/>
  <c r="E120" i="3"/>
  <c r="E129" i="3"/>
  <c r="E135" i="3"/>
  <c r="E148" i="3"/>
  <c r="E160" i="3"/>
  <c r="E172" i="3"/>
  <c r="E178" i="3"/>
  <c r="E190" i="3"/>
  <c r="E198" i="3"/>
  <c r="E202" i="3"/>
  <c r="E208" i="3"/>
  <c r="E214" i="3"/>
  <c r="E224" i="3"/>
  <c r="E236" i="3"/>
  <c r="E244" i="3"/>
  <c r="E250" i="3"/>
  <c r="E7" i="4"/>
  <c r="E11" i="4"/>
  <c r="E15" i="4"/>
  <c r="E19" i="4"/>
  <c r="E25" i="4"/>
  <c r="E33" i="4"/>
  <c r="E43" i="4"/>
  <c r="E49" i="4"/>
  <c r="E57" i="4"/>
  <c r="E65" i="4"/>
  <c r="E75" i="4"/>
  <c r="E85" i="4"/>
  <c r="E99" i="4"/>
  <c r="E111" i="4"/>
  <c r="E119" i="4"/>
  <c r="E203" i="4"/>
  <c r="E207" i="4"/>
  <c r="E215" i="4"/>
  <c r="E221" i="4"/>
  <c r="E5" i="5"/>
  <c r="E15" i="5"/>
  <c r="E5" i="6"/>
  <c r="E9" i="6"/>
  <c r="E15" i="6"/>
  <c r="E5" i="3"/>
  <c r="E11" i="3"/>
  <c r="E15" i="3"/>
  <c r="E19" i="3"/>
  <c r="E27" i="3"/>
  <c r="E31" i="3"/>
  <c r="E43" i="3"/>
  <c r="E47" i="3"/>
  <c r="E57" i="3"/>
  <c r="E65" i="3"/>
  <c r="E71" i="3"/>
  <c r="E81" i="3"/>
  <c r="E93" i="3"/>
  <c r="E105" i="3"/>
  <c r="E109" i="3"/>
  <c r="E121" i="3"/>
  <c r="E130" i="3"/>
  <c r="E136" i="3"/>
  <c r="E149" i="3"/>
  <c r="E161" i="3"/>
  <c r="E179" i="3"/>
  <c r="E191" i="3"/>
  <c r="E199" i="3"/>
  <c r="E203" i="3"/>
  <c r="E209" i="3"/>
  <c r="E215" i="3"/>
  <c r="E225" i="3"/>
  <c r="E237" i="3"/>
  <c r="E245" i="3"/>
  <c r="E251" i="3"/>
  <c r="E16" i="4"/>
  <c r="E20" i="4"/>
  <c r="E26" i="4"/>
  <c r="E34" i="4"/>
  <c r="E44" i="4"/>
  <c r="E50" i="4"/>
  <c r="E58" i="4"/>
  <c r="E66" i="4"/>
  <c r="E76" i="4"/>
  <c r="E86" i="4"/>
  <c r="E100" i="4"/>
  <c r="E112" i="4"/>
  <c r="E120" i="4"/>
  <c r="E204" i="4"/>
  <c r="E208" i="4"/>
  <c r="E216" i="4"/>
  <c r="E6" i="5"/>
  <c r="E16" i="5"/>
  <c r="E6" i="6"/>
  <c r="E10" i="6"/>
  <c r="E16" i="6"/>
  <c r="E6" i="3"/>
  <c r="E20" i="3"/>
  <c r="E32" i="3"/>
  <c r="E48" i="3"/>
  <c r="E58" i="3"/>
  <c r="E66" i="3"/>
  <c r="E72" i="3"/>
  <c r="E82" i="3"/>
  <c r="E94" i="3"/>
  <c r="E110" i="3"/>
  <c r="E122" i="3"/>
  <c r="E131" i="3"/>
  <c r="E137" i="3"/>
  <c r="E150" i="3"/>
  <c r="E162" i="3"/>
  <c r="E180" i="3"/>
  <c r="E192" i="3"/>
  <c r="E204" i="3"/>
  <c r="E210" i="3"/>
  <c r="E216" i="3"/>
  <c r="E226" i="3"/>
  <c r="E238" i="3"/>
  <c r="E246" i="3"/>
  <c r="E252" i="3"/>
  <c r="E21" i="4"/>
  <c r="E27" i="4"/>
  <c r="E35" i="4"/>
  <c r="E45" i="4"/>
  <c r="E51" i="4"/>
  <c r="E59" i="4"/>
  <c r="E67" i="4"/>
  <c r="E77" i="4"/>
  <c r="E87" i="4"/>
  <c r="E101" i="4"/>
  <c r="E113" i="4"/>
  <c r="E121" i="4"/>
  <c r="E209" i="4"/>
  <c r="E217" i="4"/>
  <c r="E7" i="5"/>
  <c r="E17" i="5"/>
  <c r="E11" i="6"/>
  <c r="E7" i="3"/>
  <c r="E21" i="3"/>
  <c r="E33" i="3"/>
  <c r="E49" i="3"/>
  <c r="E59" i="3"/>
  <c r="E73" i="3"/>
  <c r="E83" i="3"/>
  <c r="E95" i="3"/>
  <c r="E111" i="3"/>
  <c r="E123" i="3"/>
  <c r="E132" i="3"/>
  <c r="E138" i="3"/>
  <c r="E151" i="3"/>
  <c r="E163" i="3"/>
  <c r="E181" i="3"/>
  <c r="E193" i="3"/>
  <c r="E211" i="3"/>
  <c r="E217" i="3"/>
  <c r="E227" i="3"/>
  <c r="E239" i="3"/>
  <c r="E247" i="3"/>
  <c r="E253" i="3"/>
  <c r="E28" i="4"/>
  <c r="E36" i="4"/>
  <c r="E46" i="4"/>
  <c r="E52" i="4"/>
  <c r="E60" i="4"/>
  <c r="E68" i="4"/>
  <c r="E78" i="4"/>
  <c r="E88" i="4"/>
  <c r="E102" i="4"/>
  <c r="E210" i="4"/>
  <c r="E8" i="5"/>
  <c r="E18" i="5"/>
  <c r="E22" i="3"/>
  <c r="E34" i="3"/>
  <c r="E50" i="3"/>
  <c r="E60" i="3"/>
  <c r="E74" i="3"/>
  <c r="E84" i="3"/>
  <c r="E112" i="3"/>
  <c r="E124" i="3"/>
  <c r="E139" i="3"/>
  <c r="E152" i="3"/>
  <c r="E164" i="3"/>
  <c r="E182" i="3"/>
  <c r="E194" i="3"/>
  <c r="E218" i="3"/>
  <c r="E228" i="3"/>
  <c r="E240" i="3"/>
  <c r="E254" i="3"/>
  <c r="E29" i="4"/>
  <c r="E37" i="4"/>
  <c r="E53" i="4"/>
  <c r="E61" i="4"/>
  <c r="E69" i="4"/>
  <c r="E79" i="4"/>
  <c r="E89" i="4"/>
  <c r="E103" i="4"/>
  <c r="E211" i="4"/>
  <c r="E9" i="5"/>
  <c r="E19" i="5"/>
  <c r="E35" i="3"/>
  <c r="E51" i="3"/>
  <c r="E75" i="3"/>
  <c r="E85" i="3"/>
  <c r="E113" i="3"/>
  <c r="E125" i="3"/>
  <c r="E140" i="3"/>
  <c r="E153" i="3"/>
  <c r="E165" i="3"/>
  <c r="E183" i="3"/>
  <c r="E219" i="3"/>
  <c r="E229" i="3"/>
  <c r="E241" i="3"/>
  <c r="E38" i="4"/>
  <c r="E54" i="4"/>
  <c r="E62" i="4"/>
  <c r="E80" i="4"/>
  <c r="E90" i="4"/>
  <c r="E104" i="4"/>
  <c r="E212" i="4"/>
  <c r="E10" i="5"/>
  <c r="E52" i="3"/>
  <c r="E76" i="3"/>
  <c r="E86" i="3"/>
  <c r="E114" i="3"/>
  <c r="E141" i="3"/>
  <c r="E154" i="3"/>
  <c r="E166" i="3"/>
  <c r="E184" i="3"/>
  <c r="E220" i="3"/>
  <c r="E230" i="3"/>
  <c r="E39" i="4"/>
  <c r="E91" i="4"/>
  <c r="E105" i="4"/>
  <c r="E11" i="5"/>
  <c r="E77" i="3"/>
  <c r="E87" i="3"/>
  <c r="E115" i="3"/>
  <c r="E142" i="3"/>
  <c r="E155" i="3"/>
  <c r="E167" i="3"/>
  <c r="E185" i="3"/>
  <c r="E221" i="3"/>
  <c r="E231" i="3"/>
  <c r="E92" i="4"/>
  <c r="E106" i="4"/>
  <c r="E88" i="3"/>
  <c r="E116" i="3"/>
  <c r="E143" i="3"/>
  <c r="E156" i="3"/>
  <c r="E168" i="3"/>
  <c r="E186" i="3"/>
  <c r="E232" i="3"/>
  <c r="E93" i="4"/>
  <c r="E107" i="4"/>
  <c r="E117" i="3"/>
  <c r="E144" i="3"/>
  <c r="E233" i="3"/>
  <c r="Q233" i="3" l="1"/>
  <c r="O233" i="3"/>
  <c r="M233" i="3"/>
  <c r="K233" i="3"/>
  <c r="U233" i="3"/>
  <c r="P233" i="3"/>
  <c r="L233" i="3"/>
  <c r="N233" i="3"/>
  <c r="U144" i="3"/>
  <c r="P144" i="3"/>
  <c r="N144" i="3"/>
  <c r="L144" i="3"/>
  <c r="O144" i="3"/>
  <c r="K144" i="3"/>
  <c r="Q144" i="3"/>
  <c r="M144" i="3"/>
  <c r="Q117" i="3"/>
  <c r="O117" i="3"/>
  <c r="M117" i="3"/>
  <c r="K117" i="3"/>
  <c r="N117" i="3"/>
  <c r="U117" i="3"/>
  <c r="P117" i="3"/>
  <c r="L117" i="3"/>
  <c r="O107" i="4"/>
  <c r="Q107" i="4" s="1"/>
  <c r="M107" i="4"/>
  <c r="N107" i="4"/>
  <c r="U107" i="4"/>
  <c r="L107" i="4"/>
  <c r="P107" i="4"/>
  <c r="O93" i="4"/>
  <c r="Q93" i="4" s="1"/>
  <c r="M93" i="4"/>
  <c r="N93" i="4"/>
  <c r="P93" i="4"/>
  <c r="U93" i="4"/>
  <c r="L93" i="4"/>
  <c r="U232" i="3"/>
  <c r="P232" i="3"/>
  <c r="N232" i="3"/>
  <c r="L232" i="3"/>
  <c r="O232" i="3"/>
  <c r="K232" i="3"/>
  <c r="Q232" i="3"/>
  <c r="M232" i="3"/>
  <c r="U186" i="3"/>
  <c r="P186" i="3"/>
  <c r="N186" i="3"/>
  <c r="L186" i="3"/>
  <c r="Q186" i="3"/>
  <c r="M186" i="3"/>
  <c r="K186" i="3"/>
  <c r="O186" i="3"/>
  <c r="U168" i="3"/>
  <c r="P168" i="3"/>
  <c r="N168" i="3"/>
  <c r="L168" i="3"/>
  <c r="O168" i="3"/>
  <c r="K168" i="3"/>
  <c r="Q168" i="3"/>
  <c r="M168" i="3"/>
  <c r="U156" i="3"/>
  <c r="P156" i="3"/>
  <c r="N156" i="3"/>
  <c r="L156" i="3"/>
  <c r="O156" i="3"/>
  <c r="K156" i="3"/>
  <c r="M156" i="3"/>
  <c r="Q156" i="3"/>
  <c r="Q143" i="3"/>
  <c r="O143" i="3"/>
  <c r="M143" i="3"/>
  <c r="K143" i="3"/>
  <c r="N143" i="3"/>
  <c r="P143" i="3"/>
  <c r="U143" i="3"/>
  <c r="L143" i="3"/>
  <c r="U116" i="3"/>
  <c r="P116" i="3"/>
  <c r="N116" i="3"/>
  <c r="L116" i="3"/>
  <c r="Q116" i="3"/>
  <c r="M116" i="3"/>
  <c r="O116" i="3"/>
  <c r="K116" i="3"/>
  <c r="U88" i="3"/>
  <c r="P88" i="3"/>
  <c r="N88" i="3"/>
  <c r="L88" i="3"/>
  <c r="Q88" i="3"/>
  <c r="M88" i="3"/>
  <c r="O88" i="3"/>
  <c r="K88" i="3"/>
  <c r="Q106" i="4"/>
  <c r="O106" i="4"/>
  <c r="M106" i="4"/>
  <c r="U106" i="4"/>
  <c r="P106" i="4"/>
  <c r="L106" i="4"/>
  <c r="N106" i="4"/>
  <c r="O92" i="4"/>
  <c r="Q92" i="4" s="1"/>
  <c r="M92" i="4"/>
  <c r="U92" i="4"/>
  <c r="P92" i="4"/>
  <c r="L92" i="4"/>
  <c r="N92" i="4"/>
  <c r="Q231" i="3"/>
  <c r="O231" i="3"/>
  <c r="M231" i="3"/>
  <c r="K231" i="3"/>
  <c r="N231" i="3"/>
  <c r="U231" i="3"/>
  <c r="P231" i="3"/>
  <c r="L231" i="3"/>
  <c r="Q221" i="3"/>
  <c r="O221" i="3"/>
  <c r="M221" i="3"/>
  <c r="K221" i="3"/>
  <c r="U221" i="3"/>
  <c r="P221" i="3"/>
  <c r="L221" i="3"/>
  <c r="N221" i="3"/>
  <c r="Q185" i="3"/>
  <c r="O185" i="3"/>
  <c r="M185" i="3"/>
  <c r="K185" i="3"/>
  <c r="U185" i="3"/>
  <c r="P185" i="3"/>
  <c r="L185" i="3"/>
  <c r="N185" i="3"/>
  <c r="Q167" i="3"/>
  <c r="O167" i="3"/>
  <c r="M167" i="3"/>
  <c r="K167" i="3"/>
  <c r="N167" i="3"/>
  <c r="P167" i="3"/>
  <c r="U167" i="3"/>
  <c r="L167" i="3"/>
  <c r="Q155" i="3"/>
  <c r="O155" i="3"/>
  <c r="M155" i="3"/>
  <c r="K155" i="3"/>
  <c r="N155" i="3"/>
  <c r="U155" i="3"/>
  <c r="L155" i="3"/>
  <c r="P155" i="3"/>
  <c r="U142" i="3"/>
  <c r="P142" i="3"/>
  <c r="N142" i="3"/>
  <c r="L142" i="3"/>
  <c r="Q142" i="3"/>
  <c r="M142" i="3"/>
  <c r="O142" i="3"/>
  <c r="K142" i="3"/>
  <c r="Q115" i="3"/>
  <c r="O115" i="3"/>
  <c r="M115" i="3"/>
  <c r="K115" i="3"/>
  <c r="U115" i="3"/>
  <c r="P115" i="3"/>
  <c r="L115" i="3"/>
  <c r="N115" i="3"/>
  <c r="Q87" i="3"/>
  <c r="O87" i="3"/>
  <c r="M87" i="3"/>
  <c r="K87" i="3"/>
  <c r="U87" i="3"/>
  <c r="P87" i="3"/>
  <c r="L87" i="3"/>
  <c r="N87" i="3"/>
  <c r="Q77" i="3"/>
  <c r="O77" i="3"/>
  <c r="M77" i="3"/>
  <c r="K77" i="3"/>
  <c r="N77" i="3"/>
  <c r="U77" i="3"/>
  <c r="P77" i="3"/>
  <c r="L77" i="3"/>
  <c r="U11" i="5"/>
  <c r="P11" i="5"/>
  <c r="N11" i="5"/>
  <c r="L11" i="5"/>
  <c r="M11" i="5"/>
  <c r="K11" i="5"/>
  <c r="O11" i="5"/>
  <c r="Q11" i="5" s="1"/>
  <c r="O105" i="4"/>
  <c r="Q105" i="4" s="1"/>
  <c r="M105" i="4"/>
  <c r="N105" i="4"/>
  <c r="P105" i="4"/>
  <c r="U105" i="4"/>
  <c r="L105" i="4"/>
  <c r="Q91" i="4"/>
  <c r="O91" i="4"/>
  <c r="M91" i="4"/>
  <c r="N91" i="4"/>
  <c r="U91" i="4"/>
  <c r="L91" i="4"/>
  <c r="P91" i="4"/>
  <c r="O39" i="4"/>
  <c r="Q39" i="4" s="1"/>
  <c r="M39" i="4"/>
  <c r="N39" i="4"/>
  <c r="U39" i="4"/>
  <c r="L39" i="4"/>
  <c r="P39" i="4"/>
  <c r="U230" i="3"/>
  <c r="P230" i="3"/>
  <c r="N230" i="3"/>
  <c r="L230" i="3"/>
  <c r="Q230" i="3"/>
  <c r="M230" i="3"/>
  <c r="O230" i="3"/>
  <c r="K230" i="3"/>
  <c r="U220" i="3"/>
  <c r="P220" i="3"/>
  <c r="N220" i="3"/>
  <c r="L220" i="3"/>
  <c r="O220" i="3"/>
  <c r="K220" i="3"/>
  <c r="Q220" i="3"/>
  <c r="M220" i="3"/>
  <c r="U184" i="3"/>
  <c r="P184" i="3"/>
  <c r="N184" i="3"/>
  <c r="L184" i="3"/>
  <c r="O184" i="3"/>
  <c r="K184" i="3"/>
  <c r="Q184" i="3"/>
  <c r="M184" i="3"/>
  <c r="U166" i="3"/>
  <c r="P166" i="3"/>
  <c r="N166" i="3"/>
  <c r="L166" i="3"/>
  <c r="Q166" i="3"/>
  <c r="M166" i="3"/>
  <c r="O166" i="3"/>
  <c r="K166" i="3"/>
  <c r="U154" i="3"/>
  <c r="P154" i="3"/>
  <c r="N154" i="3"/>
  <c r="L154" i="3"/>
  <c r="Q154" i="3"/>
  <c r="M154" i="3"/>
  <c r="K154" i="3"/>
  <c r="O154" i="3"/>
  <c r="Q141" i="3"/>
  <c r="O141" i="3"/>
  <c r="M141" i="3"/>
  <c r="K141" i="3"/>
  <c r="U141" i="3"/>
  <c r="P141" i="3"/>
  <c r="L141" i="3"/>
  <c r="N141" i="3"/>
  <c r="U114" i="3"/>
  <c r="P114" i="3"/>
  <c r="N114" i="3"/>
  <c r="L114" i="3"/>
  <c r="O114" i="3"/>
  <c r="K114" i="3"/>
  <c r="Q114" i="3"/>
  <c r="M114" i="3"/>
  <c r="U86" i="3"/>
  <c r="P86" i="3"/>
  <c r="N86" i="3"/>
  <c r="L86" i="3"/>
  <c r="O86" i="3"/>
  <c r="K86" i="3"/>
  <c r="Q86" i="3"/>
  <c r="M86" i="3"/>
  <c r="U76" i="3"/>
  <c r="P76" i="3"/>
  <c r="N76" i="3"/>
  <c r="L76" i="3"/>
  <c r="Q76" i="3"/>
  <c r="M76" i="3"/>
  <c r="O76" i="3"/>
  <c r="K76" i="3"/>
  <c r="U52" i="3"/>
  <c r="P52" i="3"/>
  <c r="N52" i="3"/>
  <c r="L52" i="3"/>
  <c r="Q52" i="3"/>
  <c r="O52" i="3"/>
  <c r="M52" i="3"/>
  <c r="K52" i="3"/>
  <c r="Q10" i="5"/>
  <c r="O10" i="5"/>
  <c r="M10" i="5"/>
  <c r="K10" i="5"/>
  <c r="U10" i="5"/>
  <c r="P10" i="5"/>
  <c r="L10" i="5"/>
  <c r="N10" i="5"/>
  <c r="O212" i="4"/>
  <c r="Q212" i="4" s="1"/>
  <c r="M212" i="4"/>
  <c r="U212" i="4"/>
  <c r="P212" i="4"/>
  <c r="L212" i="4"/>
  <c r="N212" i="4"/>
  <c r="O104" i="4"/>
  <c r="Q104" i="4" s="1"/>
  <c r="M104" i="4"/>
  <c r="U104" i="4"/>
  <c r="P104" i="4"/>
  <c r="L104" i="4"/>
  <c r="N104" i="4"/>
  <c r="O90" i="4"/>
  <c r="Q90" i="4" s="1"/>
  <c r="M90" i="4"/>
  <c r="U90" i="4"/>
  <c r="P90" i="4"/>
  <c r="L90" i="4"/>
  <c r="N90" i="4"/>
  <c r="O80" i="4"/>
  <c r="Q80" i="4" s="1"/>
  <c r="M80" i="4"/>
  <c r="U80" i="4"/>
  <c r="P80" i="4"/>
  <c r="L80" i="4"/>
  <c r="N80" i="4"/>
  <c r="O62" i="4"/>
  <c r="Q62" i="4" s="1"/>
  <c r="M62" i="4"/>
  <c r="U62" i="4"/>
  <c r="P62" i="4"/>
  <c r="L62" i="4"/>
  <c r="N62" i="4"/>
  <c r="O54" i="4"/>
  <c r="Q54" i="4" s="1"/>
  <c r="M54" i="4"/>
  <c r="U54" i="4"/>
  <c r="P54" i="4"/>
  <c r="L54" i="4"/>
  <c r="N54" i="4"/>
  <c r="O38" i="4"/>
  <c r="Q38" i="4" s="1"/>
  <c r="M38" i="4"/>
  <c r="U38" i="4"/>
  <c r="P38" i="4"/>
  <c r="L38" i="4"/>
  <c r="N38" i="4"/>
  <c r="Q241" i="3"/>
  <c r="O241" i="3"/>
  <c r="M241" i="3"/>
  <c r="K241" i="3"/>
  <c r="U241" i="3"/>
  <c r="P241" i="3"/>
  <c r="L241" i="3"/>
  <c r="N241" i="3"/>
  <c r="Q229" i="3"/>
  <c r="O229" i="3"/>
  <c r="M229" i="3"/>
  <c r="K229" i="3"/>
  <c r="U229" i="3"/>
  <c r="P229" i="3"/>
  <c r="L229" i="3"/>
  <c r="N229" i="3"/>
  <c r="Q219" i="3"/>
  <c r="O219" i="3"/>
  <c r="M219" i="3"/>
  <c r="K219" i="3"/>
  <c r="N219" i="3"/>
  <c r="U219" i="3"/>
  <c r="P219" i="3"/>
  <c r="L219" i="3"/>
  <c r="Q183" i="3"/>
  <c r="O183" i="3"/>
  <c r="M183" i="3"/>
  <c r="K183" i="3"/>
  <c r="N183" i="3"/>
  <c r="P183" i="3"/>
  <c r="U183" i="3"/>
  <c r="L183" i="3"/>
  <c r="Q165" i="3"/>
  <c r="O165" i="3"/>
  <c r="M165" i="3"/>
  <c r="K165" i="3"/>
  <c r="U165" i="3"/>
  <c r="P165" i="3"/>
  <c r="L165" i="3"/>
  <c r="N165" i="3"/>
  <c r="Q153" i="3"/>
  <c r="O153" i="3"/>
  <c r="M153" i="3"/>
  <c r="K153" i="3"/>
  <c r="U153" i="3"/>
  <c r="P153" i="3"/>
  <c r="L153" i="3"/>
  <c r="N153" i="3"/>
  <c r="U140" i="3"/>
  <c r="P140" i="3"/>
  <c r="N140" i="3"/>
  <c r="L140" i="3"/>
  <c r="O140" i="3"/>
  <c r="K140" i="3"/>
  <c r="Q140" i="3"/>
  <c r="M140" i="3"/>
  <c r="U125" i="3"/>
  <c r="Q125" i="3"/>
  <c r="O125" i="3"/>
  <c r="M125" i="3"/>
  <c r="K125" i="3"/>
  <c r="N125" i="3"/>
  <c r="P125" i="3"/>
  <c r="L125" i="3"/>
  <c r="Q113" i="3"/>
  <c r="O113" i="3"/>
  <c r="M113" i="3"/>
  <c r="K113" i="3"/>
  <c r="N113" i="3"/>
  <c r="U113" i="3"/>
  <c r="P113" i="3"/>
  <c r="L113" i="3"/>
  <c r="Q85" i="3"/>
  <c r="O85" i="3"/>
  <c r="M85" i="3"/>
  <c r="K85" i="3"/>
  <c r="N85" i="3"/>
  <c r="U85" i="3"/>
  <c r="P85" i="3"/>
  <c r="L85" i="3"/>
  <c r="Q75" i="3"/>
  <c r="O75" i="3"/>
  <c r="M75" i="3"/>
  <c r="K75" i="3"/>
  <c r="U75" i="3"/>
  <c r="P75" i="3"/>
  <c r="L75" i="3"/>
  <c r="N75" i="3"/>
  <c r="Q51" i="3"/>
  <c r="O51" i="3"/>
  <c r="M51" i="3"/>
  <c r="K51" i="3"/>
  <c r="U51" i="3"/>
  <c r="P51" i="3"/>
  <c r="N51" i="3"/>
  <c r="L51" i="3"/>
  <c r="Q35" i="3"/>
  <c r="O35" i="3"/>
  <c r="M35" i="3"/>
  <c r="K35" i="3"/>
  <c r="U35" i="3"/>
  <c r="P35" i="3"/>
  <c r="N35" i="3"/>
  <c r="L35" i="3"/>
  <c r="Q19" i="5"/>
  <c r="O19" i="5"/>
  <c r="M19" i="5"/>
  <c r="K19" i="5"/>
  <c r="U19" i="5"/>
  <c r="P19" i="5"/>
  <c r="L19" i="5"/>
  <c r="N19" i="5"/>
  <c r="U9" i="5"/>
  <c r="P9" i="5"/>
  <c r="N9" i="5"/>
  <c r="L9" i="5"/>
  <c r="O9" i="5"/>
  <c r="K9" i="5"/>
  <c r="Q9" i="5"/>
  <c r="M9" i="5"/>
  <c r="Q211" i="4"/>
  <c r="O211" i="4"/>
  <c r="M211" i="4"/>
  <c r="N211" i="4"/>
  <c r="P211" i="4"/>
  <c r="L211" i="4"/>
  <c r="U211" i="4"/>
  <c r="O103" i="4"/>
  <c r="Q103" i="4" s="1"/>
  <c r="M103" i="4"/>
  <c r="N103" i="4"/>
  <c r="U103" i="4"/>
  <c r="L103" i="4"/>
  <c r="P103" i="4"/>
  <c r="Q89" i="4"/>
  <c r="O89" i="4"/>
  <c r="M89" i="4"/>
  <c r="N89" i="4"/>
  <c r="P89" i="4"/>
  <c r="U89" i="4"/>
  <c r="L89" i="4"/>
  <c r="O79" i="4"/>
  <c r="Q79" i="4" s="1"/>
  <c r="M79" i="4"/>
  <c r="N79" i="4"/>
  <c r="U79" i="4"/>
  <c r="L79" i="4"/>
  <c r="P79" i="4"/>
  <c r="Q69" i="4"/>
  <c r="O69" i="4"/>
  <c r="M69" i="4"/>
  <c r="N69" i="4"/>
  <c r="U69" i="4"/>
  <c r="L69" i="4"/>
  <c r="P69" i="4"/>
  <c r="O61" i="4"/>
  <c r="Q61" i="4" s="1"/>
  <c r="M61" i="4"/>
  <c r="N61" i="4"/>
  <c r="U61" i="4"/>
  <c r="L61" i="4"/>
  <c r="P61" i="4"/>
  <c r="Q53" i="4"/>
  <c r="O53" i="4"/>
  <c r="M53" i="4"/>
  <c r="N53" i="4"/>
  <c r="U53" i="4"/>
  <c r="L53" i="4"/>
  <c r="P53" i="4"/>
  <c r="O37" i="4"/>
  <c r="Q37" i="4" s="1"/>
  <c r="M37" i="4"/>
  <c r="N37" i="4"/>
  <c r="P37" i="4"/>
  <c r="U37" i="4"/>
  <c r="L37" i="4"/>
  <c r="Q29" i="4"/>
  <c r="O29" i="4"/>
  <c r="M29" i="4"/>
  <c r="N29" i="4"/>
  <c r="P29" i="4"/>
  <c r="U29" i="4"/>
  <c r="L29" i="4"/>
  <c r="U254" i="3"/>
  <c r="P254" i="3"/>
  <c r="N254" i="3"/>
  <c r="L254" i="3"/>
  <c r="Q254" i="3"/>
  <c r="M254" i="3"/>
  <c r="K254" i="3"/>
  <c r="O254" i="3"/>
  <c r="U240" i="3"/>
  <c r="P240" i="3"/>
  <c r="N240" i="3"/>
  <c r="L240" i="3"/>
  <c r="O240" i="3"/>
  <c r="K240" i="3"/>
  <c r="Q240" i="3"/>
  <c r="M240" i="3"/>
  <c r="U228" i="3"/>
  <c r="P228" i="3"/>
  <c r="N228" i="3"/>
  <c r="L228" i="3"/>
  <c r="O228" i="3"/>
  <c r="K228" i="3"/>
  <c r="Q228" i="3"/>
  <c r="M228" i="3"/>
  <c r="U218" i="3"/>
  <c r="P218" i="3"/>
  <c r="N218" i="3"/>
  <c r="L218" i="3"/>
  <c r="Q218" i="3"/>
  <c r="M218" i="3"/>
  <c r="O218" i="3"/>
  <c r="K218" i="3"/>
  <c r="U194" i="3"/>
  <c r="P194" i="3"/>
  <c r="N194" i="3"/>
  <c r="L194" i="3"/>
  <c r="Q194" i="3"/>
  <c r="M194" i="3"/>
  <c r="O194" i="3"/>
  <c r="K194" i="3"/>
  <c r="U182" i="3"/>
  <c r="P182" i="3"/>
  <c r="N182" i="3"/>
  <c r="L182" i="3"/>
  <c r="Q182" i="3"/>
  <c r="M182" i="3"/>
  <c r="O182" i="3"/>
  <c r="K182" i="3"/>
  <c r="U164" i="3"/>
  <c r="P164" i="3"/>
  <c r="N164" i="3"/>
  <c r="L164" i="3"/>
  <c r="O164" i="3"/>
  <c r="K164" i="3"/>
  <c r="M164" i="3"/>
  <c r="Q164" i="3"/>
  <c r="U152" i="3"/>
  <c r="P152" i="3"/>
  <c r="N152" i="3"/>
  <c r="L152" i="3"/>
  <c r="O152" i="3"/>
  <c r="K152" i="3"/>
  <c r="Q152" i="3"/>
  <c r="M152" i="3"/>
  <c r="Q139" i="3"/>
  <c r="O139" i="3"/>
  <c r="M139" i="3"/>
  <c r="K139" i="3"/>
  <c r="N139" i="3"/>
  <c r="U139" i="3"/>
  <c r="P139" i="3"/>
  <c r="L139" i="3"/>
  <c r="U124" i="3"/>
  <c r="P124" i="3"/>
  <c r="N124" i="3"/>
  <c r="L124" i="3"/>
  <c r="Q124" i="3"/>
  <c r="M124" i="3"/>
  <c r="O124" i="3"/>
  <c r="K124" i="3"/>
  <c r="U112" i="3"/>
  <c r="P112" i="3"/>
  <c r="N112" i="3"/>
  <c r="L112" i="3"/>
  <c r="Q112" i="3"/>
  <c r="M112" i="3"/>
  <c r="O112" i="3"/>
  <c r="K112" i="3"/>
  <c r="U84" i="3"/>
  <c r="P84" i="3"/>
  <c r="N84" i="3"/>
  <c r="L84" i="3"/>
  <c r="Q84" i="3"/>
  <c r="M84" i="3"/>
  <c r="O84" i="3"/>
  <c r="K84" i="3"/>
  <c r="U74" i="3"/>
  <c r="P74" i="3"/>
  <c r="N74" i="3"/>
  <c r="L74" i="3"/>
  <c r="O74" i="3"/>
  <c r="K74" i="3"/>
  <c r="Q74" i="3"/>
  <c r="M74" i="3"/>
  <c r="U60" i="3"/>
  <c r="P60" i="3"/>
  <c r="N60" i="3"/>
  <c r="L60" i="3"/>
  <c r="Q60" i="3"/>
  <c r="M60" i="3"/>
  <c r="O60" i="3"/>
  <c r="K60" i="3"/>
  <c r="U50" i="3"/>
  <c r="P50" i="3"/>
  <c r="N50" i="3"/>
  <c r="L50" i="3"/>
  <c r="Q50" i="3"/>
  <c r="O50" i="3"/>
  <c r="M50" i="3"/>
  <c r="K50" i="3"/>
  <c r="U34" i="3"/>
  <c r="P34" i="3"/>
  <c r="N34" i="3"/>
  <c r="L34" i="3"/>
  <c r="Q34" i="3"/>
  <c r="O34" i="3"/>
  <c r="M34" i="3"/>
  <c r="K34" i="3"/>
  <c r="U22" i="3"/>
  <c r="P22" i="3"/>
  <c r="N22" i="3"/>
  <c r="L22" i="3"/>
  <c r="Q22" i="3"/>
  <c r="O22" i="3"/>
  <c r="M22" i="3"/>
  <c r="K22" i="3"/>
  <c r="U18" i="5"/>
  <c r="P18" i="5"/>
  <c r="N18" i="5"/>
  <c r="L18" i="5"/>
  <c r="O18" i="5"/>
  <c r="K18" i="5"/>
  <c r="Q18" i="5"/>
  <c r="M18" i="5"/>
  <c r="O8" i="5"/>
  <c r="Q8" i="5" s="1"/>
  <c r="M8" i="5"/>
  <c r="K8" i="5"/>
  <c r="N8" i="5"/>
  <c r="P8" i="5"/>
  <c r="U8" i="5"/>
  <c r="L8" i="5"/>
  <c r="O210" i="4"/>
  <c r="Q210" i="4" s="1"/>
  <c r="M210" i="4"/>
  <c r="U210" i="4"/>
  <c r="P210" i="4"/>
  <c r="L210" i="4"/>
  <c r="N210" i="4"/>
  <c r="O102" i="4"/>
  <c r="Q102" i="4" s="1"/>
  <c r="M102" i="4"/>
  <c r="U102" i="4"/>
  <c r="P102" i="4"/>
  <c r="L102" i="4"/>
  <c r="N102" i="4"/>
  <c r="O88" i="4"/>
  <c r="Q88" i="4" s="1"/>
  <c r="M88" i="4"/>
  <c r="U88" i="4"/>
  <c r="P88" i="4"/>
  <c r="L88" i="4"/>
  <c r="N88" i="4"/>
  <c r="O78" i="4"/>
  <c r="Q78" i="4" s="1"/>
  <c r="M78" i="4"/>
  <c r="U78" i="4"/>
  <c r="P78" i="4"/>
  <c r="L78" i="4"/>
  <c r="N78" i="4"/>
  <c r="O68" i="4"/>
  <c r="Q68" i="4" s="1"/>
  <c r="M68" i="4"/>
  <c r="U68" i="4"/>
  <c r="P68" i="4"/>
  <c r="L68" i="4"/>
  <c r="N68" i="4"/>
  <c r="O60" i="4"/>
  <c r="Q60" i="4" s="1"/>
  <c r="M60" i="4"/>
  <c r="U60" i="4"/>
  <c r="P60" i="4"/>
  <c r="L60" i="4"/>
  <c r="N60" i="4"/>
  <c r="O52" i="4"/>
  <c r="Q52" i="4" s="1"/>
  <c r="M52" i="4"/>
  <c r="U52" i="4"/>
  <c r="P52" i="4"/>
  <c r="L52" i="4"/>
  <c r="N52" i="4"/>
  <c r="O46" i="4"/>
  <c r="Q46" i="4" s="1"/>
  <c r="M46" i="4"/>
  <c r="U46" i="4"/>
  <c r="P46" i="4"/>
  <c r="L46" i="4"/>
  <c r="N46" i="4"/>
  <c r="O36" i="4"/>
  <c r="Q36" i="4" s="1"/>
  <c r="M36" i="4"/>
  <c r="U36" i="4"/>
  <c r="P36" i="4"/>
  <c r="L36" i="4"/>
  <c r="N36" i="4"/>
  <c r="O28" i="4"/>
  <c r="Q28" i="4" s="1"/>
  <c r="M28" i="4"/>
  <c r="U28" i="4"/>
  <c r="P28" i="4"/>
  <c r="L28" i="4"/>
  <c r="N28" i="4"/>
  <c r="Q253" i="3"/>
  <c r="O253" i="3"/>
  <c r="M253" i="3"/>
  <c r="K253" i="3"/>
  <c r="U253" i="3"/>
  <c r="P253" i="3"/>
  <c r="L253" i="3"/>
  <c r="N253" i="3"/>
  <c r="Q247" i="3"/>
  <c r="O247" i="3"/>
  <c r="M247" i="3"/>
  <c r="K247" i="3"/>
  <c r="N247" i="3"/>
  <c r="U247" i="3"/>
  <c r="L247" i="3"/>
  <c r="P247" i="3"/>
  <c r="Q239" i="3"/>
  <c r="O239" i="3"/>
  <c r="M239" i="3"/>
  <c r="K239" i="3"/>
  <c r="N239" i="3"/>
  <c r="U239" i="3"/>
  <c r="P239" i="3"/>
  <c r="L239" i="3"/>
  <c r="Q227" i="3"/>
  <c r="O227" i="3"/>
  <c r="M227" i="3"/>
  <c r="K227" i="3"/>
  <c r="N227" i="3"/>
  <c r="U227" i="3"/>
  <c r="P227" i="3"/>
  <c r="L227" i="3"/>
  <c r="Q217" i="3"/>
  <c r="O217" i="3"/>
  <c r="M217" i="3"/>
  <c r="K217" i="3"/>
  <c r="U217" i="3"/>
  <c r="P217" i="3"/>
  <c r="L217" i="3"/>
  <c r="N217" i="3"/>
  <c r="Q211" i="3"/>
  <c r="O211" i="3"/>
  <c r="M211" i="3"/>
  <c r="K211" i="3"/>
  <c r="N211" i="3"/>
  <c r="U211" i="3"/>
  <c r="P211" i="3"/>
  <c r="L211" i="3"/>
  <c r="Q193" i="3"/>
  <c r="O193" i="3"/>
  <c r="M193" i="3"/>
  <c r="K193" i="3"/>
  <c r="U193" i="3"/>
  <c r="P193" i="3"/>
  <c r="L193" i="3"/>
  <c r="N193" i="3"/>
  <c r="Q181" i="3"/>
  <c r="O181" i="3"/>
  <c r="M181" i="3"/>
  <c r="K181" i="3"/>
  <c r="U181" i="3"/>
  <c r="P181" i="3"/>
  <c r="L181" i="3"/>
  <c r="N181" i="3"/>
  <c r="Q163" i="3"/>
  <c r="O163" i="3"/>
  <c r="M163" i="3"/>
  <c r="K163" i="3"/>
  <c r="N163" i="3"/>
  <c r="U163" i="3"/>
  <c r="L163" i="3"/>
  <c r="P163" i="3"/>
  <c r="Q151" i="3"/>
  <c r="O151" i="3"/>
  <c r="M151" i="3"/>
  <c r="K151" i="3"/>
  <c r="N151" i="3"/>
  <c r="P151" i="3"/>
  <c r="U151" i="3"/>
  <c r="L151" i="3"/>
  <c r="Q138" i="3"/>
  <c r="O138" i="3"/>
  <c r="M138" i="3"/>
  <c r="K138" i="3"/>
  <c r="U138" i="3"/>
  <c r="P138" i="3"/>
  <c r="N138" i="3"/>
  <c r="L138" i="3"/>
  <c r="Q132" i="3"/>
  <c r="O132" i="3"/>
  <c r="M132" i="3"/>
  <c r="K132" i="3"/>
  <c r="U132" i="3"/>
  <c r="P132" i="3"/>
  <c r="N132" i="3"/>
  <c r="L132" i="3"/>
  <c r="Q123" i="3"/>
  <c r="O123" i="3"/>
  <c r="M123" i="3"/>
  <c r="K123" i="3"/>
  <c r="U123" i="3"/>
  <c r="P123" i="3"/>
  <c r="L123" i="3"/>
  <c r="N123" i="3"/>
  <c r="Q111" i="3"/>
  <c r="O111" i="3"/>
  <c r="M111" i="3"/>
  <c r="K111" i="3"/>
  <c r="U111" i="3"/>
  <c r="P111" i="3"/>
  <c r="L111" i="3"/>
  <c r="N111" i="3"/>
  <c r="Q95" i="3"/>
  <c r="O95" i="3"/>
  <c r="M95" i="3"/>
  <c r="K95" i="3"/>
  <c r="U95" i="3"/>
  <c r="P95" i="3"/>
  <c r="L95" i="3"/>
  <c r="N95" i="3"/>
  <c r="Q83" i="3"/>
  <c r="O83" i="3"/>
  <c r="M83" i="3"/>
  <c r="K83" i="3"/>
  <c r="U83" i="3"/>
  <c r="P83" i="3"/>
  <c r="L83" i="3"/>
  <c r="N83" i="3"/>
  <c r="Q73" i="3"/>
  <c r="O73" i="3"/>
  <c r="M73" i="3"/>
  <c r="K73" i="3"/>
  <c r="N73" i="3"/>
  <c r="U73" i="3"/>
  <c r="P73" i="3"/>
  <c r="L73" i="3"/>
  <c r="Q59" i="3"/>
  <c r="O59" i="3"/>
  <c r="U59" i="3"/>
  <c r="P59" i="3"/>
  <c r="M59" i="3"/>
  <c r="K59" i="3"/>
  <c r="N59" i="3"/>
  <c r="L59" i="3"/>
  <c r="Q49" i="3"/>
  <c r="O49" i="3"/>
  <c r="M49" i="3"/>
  <c r="K49" i="3"/>
  <c r="U49" i="3"/>
  <c r="P49" i="3"/>
  <c r="N49" i="3"/>
  <c r="L49" i="3"/>
  <c r="Q33" i="3"/>
  <c r="O33" i="3"/>
  <c r="M33" i="3"/>
  <c r="K33" i="3"/>
  <c r="U33" i="3"/>
  <c r="P33" i="3"/>
  <c r="N33" i="3"/>
  <c r="L33" i="3"/>
  <c r="Q21" i="3"/>
  <c r="O21" i="3"/>
  <c r="M21" i="3"/>
  <c r="K21" i="3"/>
  <c r="U21" i="3"/>
  <c r="P21" i="3"/>
  <c r="N21" i="3"/>
  <c r="L21" i="3"/>
  <c r="Q7" i="3"/>
  <c r="O7" i="3"/>
  <c r="M7" i="3"/>
  <c r="K7" i="3"/>
  <c r="U7" i="3"/>
  <c r="P7" i="3"/>
  <c r="N7" i="3"/>
  <c r="L7" i="3"/>
  <c r="U11" i="6"/>
  <c r="P11" i="6"/>
  <c r="N11" i="6"/>
  <c r="L11" i="6"/>
  <c r="Q11" i="6"/>
  <c r="M11" i="6"/>
  <c r="K11" i="6"/>
  <c r="O11" i="6"/>
  <c r="O17" i="5"/>
  <c r="Q17" i="5" s="1"/>
  <c r="M17" i="5"/>
  <c r="K17" i="5"/>
  <c r="N17" i="5"/>
  <c r="P17" i="5"/>
  <c r="U17" i="5"/>
  <c r="L17" i="5"/>
  <c r="U7" i="5"/>
  <c r="P7" i="5"/>
  <c r="N7" i="5"/>
  <c r="L7" i="5"/>
  <c r="M7" i="5"/>
  <c r="O7" i="5"/>
  <c r="Q7" i="5" s="1"/>
  <c r="K7" i="5"/>
  <c r="Q217" i="4"/>
  <c r="O217" i="4"/>
  <c r="M217" i="4"/>
  <c r="N217" i="4"/>
  <c r="U217" i="4"/>
  <c r="L217" i="4"/>
  <c r="P217" i="4"/>
  <c r="O209" i="4"/>
  <c r="Q209" i="4" s="1"/>
  <c r="M209" i="4"/>
  <c r="N209" i="4"/>
  <c r="U209" i="4"/>
  <c r="L209" i="4"/>
  <c r="P209" i="4"/>
  <c r="U121" i="4"/>
  <c r="O121" i="4"/>
  <c r="Q121" i="4" s="1"/>
  <c r="M121" i="4"/>
  <c r="N121" i="4"/>
  <c r="P121" i="4"/>
  <c r="L121" i="4"/>
  <c r="Q113" i="4"/>
  <c r="O113" i="4"/>
  <c r="M113" i="4"/>
  <c r="N113" i="4"/>
  <c r="P113" i="4"/>
  <c r="U113" i="4"/>
  <c r="L113" i="4"/>
  <c r="O101" i="4"/>
  <c r="Q101" i="4" s="1"/>
  <c r="M101" i="4"/>
  <c r="N101" i="4"/>
  <c r="P101" i="4"/>
  <c r="U101" i="4"/>
  <c r="L101" i="4"/>
  <c r="Q87" i="4"/>
  <c r="O87" i="4"/>
  <c r="M87" i="4"/>
  <c r="N87" i="4"/>
  <c r="U87" i="4"/>
  <c r="L87" i="4"/>
  <c r="P87" i="4"/>
  <c r="O77" i="4"/>
  <c r="Q77" i="4" s="1"/>
  <c r="M77" i="4"/>
  <c r="N77" i="4"/>
  <c r="P77" i="4"/>
  <c r="U77" i="4"/>
  <c r="L77" i="4"/>
  <c r="Q67" i="4"/>
  <c r="O67" i="4"/>
  <c r="M67" i="4"/>
  <c r="N67" i="4"/>
  <c r="P67" i="4"/>
  <c r="U67" i="4"/>
  <c r="L67" i="4"/>
  <c r="O59" i="4"/>
  <c r="Q59" i="4" s="1"/>
  <c r="M59" i="4"/>
  <c r="N59" i="4"/>
  <c r="P59" i="4"/>
  <c r="U59" i="4"/>
  <c r="L59" i="4"/>
  <c r="Q51" i="4"/>
  <c r="O51" i="4"/>
  <c r="M51" i="4"/>
  <c r="N51" i="4"/>
  <c r="P51" i="4"/>
  <c r="U51" i="4"/>
  <c r="L51" i="4"/>
  <c r="O45" i="4"/>
  <c r="Q45" i="4" s="1"/>
  <c r="M45" i="4"/>
  <c r="N45" i="4"/>
  <c r="P45" i="4"/>
  <c r="U45" i="4"/>
  <c r="L45" i="4"/>
  <c r="Q35" i="4"/>
  <c r="O35" i="4"/>
  <c r="M35" i="4"/>
  <c r="N35" i="4"/>
  <c r="U35" i="4"/>
  <c r="L35" i="4"/>
  <c r="P35" i="4"/>
  <c r="O27" i="4"/>
  <c r="Q27" i="4" s="1"/>
  <c r="M27" i="4"/>
  <c r="N27" i="4"/>
  <c r="U27" i="4"/>
  <c r="L27" i="4"/>
  <c r="P27" i="4"/>
  <c r="Q21" i="4"/>
  <c r="O21" i="4"/>
  <c r="M21" i="4"/>
  <c r="N21" i="4"/>
  <c r="P21" i="4"/>
  <c r="U21" i="4"/>
  <c r="L21" i="4"/>
  <c r="U252" i="3"/>
  <c r="P252" i="3"/>
  <c r="N252" i="3"/>
  <c r="L252" i="3"/>
  <c r="O252" i="3"/>
  <c r="K252" i="3"/>
  <c r="Q252" i="3"/>
  <c r="M252" i="3"/>
  <c r="U246" i="3"/>
  <c r="P246" i="3"/>
  <c r="N246" i="3"/>
  <c r="L246" i="3"/>
  <c r="Q246" i="3"/>
  <c r="M246" i="3"/>
  <c r="K246" i="3"/>
  <c r="O246" i="3"/>
  <c r="U238" i="3"/>
  <c r="P238" i="3"/>
  <c r="N238" i="3"/>
  <c r="L238" i="3"/>
  <c r="Q238" i="3"/>
  <c r="M238" i="3"/>
  <c r="O238" i="3"/>
  <c r="K238" i="3"/>
  <c r="U226" i="3"/>
  <c r="P226" i="3"/>
  <c r="N226" i="3"/>
  <c r="L226" i="3"/>
  <c r="Q226" i="3"/>
  <c r="M226" i="3"/>
  <c r="O226" i="3"/>
  <c r="K226" i="3"/>
  <c r="U216" i="3"/>
  <c r="P216" i="3"/>
  <c r="N216" i="3"/>
  <c r="L216" i="3"/>
  <c r="O216" i="3"/>
  <c r="K216" i="3"/>
  <c r="Q216" i="3"/>
  <c r="M216" i="3"/>
  <c r="U210" i="3"/>
  <c r="P210" i="3"/>
  <c r="N210" i="3"/>
  <c r="L210" i="3"/>
  <c r="Q210" i="3"/>
  <c r="M210" i="3"/>
  <c r="O210" i="3"/>
  <c r="K210" i="3"/>
  <c r="U204" i="3"/>
  <c r="P204" i="3"/>
  <c r="N204" i="3"/>
  <c r="L204" i="3"/>
  <c r="O204" i="3"/>
  <c r="K204" i="3"/>
  <c r="Q204" i="3"/>
  <c r="M204" i="3"/>
  <c r="U192" i="3"/>
  <c r="P192" i="3"/>
  <c r="N192" i="3"/>
  <c r="L192" i="3"/>
  <c r="O192" i="3"/>
  <c r="K192" i="3"/>
  <c r="Q192" i="3"/>
  <c r="M192" i="3"/>
  <c r="U180" i="3"/>
  <c r="P180" i="3"/>
  <c r="N180" i="3"/>
  <c r="L180" i="3"/>
  <c r="O180" i="3"/>
  <c r="K180" i="3"/>
  <c r="M180" i="3"/>
  <c r="Q180" i="3"/>
  <c r="U162" i="3"/>
  <c r="P162" i="3"/>
  <c r="N162" i="3"/>
  <c r="L162" i="3"/>
  <c r="Q162" i="3"/>
  <c r="M162" i="3"/>
  <c r="K162" i="3"/>
  <c r="O162" i="3"/>
  <c r="U150" i="3"/>
  <c r="P150" i="3"/>
  <c r="N150" i="3"/>
  <c r="L150" i="3"/>
  <c r="Q150" i="3"/>
  <c r="M150" i="3"/>
  <c r="O150" i="3"/>
  <c r="K150" i="3"/>
  <c r="U137" i="3"/>
  <c r="P137" i="3"/>
  <c r="N137" i="3"/>
  <c r="L137" i="3"/>
  <c r="Q137" i="3"/>
  <c r="O137" i="3"/>
  <c r="M137" i="3"/>
  <c r="K137" i="3"/>
  <c r="U131" i="3"/>
  <c r="P131" i="3"/>
  <c r="N131" i="3"/>
  <c r="L131" i="3"/>
  <c r="Q131" i="3"/>
  <c r="O131" i="3"/>
  <c r="M131" i="3"/>
  <c r="K131" i="3"/>
  <c r="U122" i="3"/>
  <c r="P122" i="3"/>
  <c r="N122" i="3"/>
  <c r="L122" i="3"/>
  <c r="O122" i="3"/>
  <c r="K122" i="3"/>
  <c r="Q122" i="3"/>
  <c r="M122" i="3"/>
  <c r="U110" i="3"/>
  <c r="P110" i="3"/>
  <c r="N110" i="3"/>
  <c r="L110" i="3"/>
  <c r="O110" i="3"/>
  <c r="K110" i="3"/>
  <c r="Q110" i="3"/>
  <c r="M110" i="3"/>
  <c r="U94" i="3"/>
  <c r="P94" i="3"/>
  <c r="N94" i="3"/>
  <c r="L94" i="3"/>
  <c r="O94" i="3"/>
  <c r="K94" i="3"/>
  <c r="Q94" i="3"/>
  <c r="M94" i="3"/>
  <c r="U82" i="3"/>
  <c r="P82" i="3"/>
  <c r="N82" i="3"/>
  <c r="L82" i="3"/>
  <c r="O82" i="3"/>
  <c r="K82" i="3"/>
  <c r="Q82" i="3"/>
  <c r="M82" i="3"/>
  <c r="U72" i="3"/>
  <c r="P72" i="3"/>
  <c r="N72" i="3"/>
  <c r="L72" i="3"/>
  <c r="Q72" i="3"/>
  <c r="M72" i="3"/>
  <c r="O72" i="3"/>
  <c r="K72" i="3"/>
  <c r="U66" i="3"/>
  <c r="P66" i="3"/>
  <c r="N66" i="3"/>
  <c r="L66" i="3"/>
  <c r="O66" i="3"/>
  <c r="K66" i="3"/>
  <c r="Q66" i="3"/>
  <c r="M66" i="3"/>
  <c r="U58" i="3"/>
  <c r="P58" i="3"/>
  <c r="N58" i="3"/>
  <c r="L58" i="3"/>
  <c r="Q58" i="3"/>
  <c r="O58" i="3"/>
  <c r="M58" i="3"/>
  <c r="K58" i="3"/>
  <c r="U48" i="3"/>
  <c r="P48" i="3"/>
  <c r="N48" i="3"/>
  <c r="L48" i="3"/>
  <c r="Q48" i="3"/>
  <c r="O48" i="3"/>
  <c r="M48" i="3"/>
  <c r="K48" i="3"/>
  <c r="U32" i="3"/>
  <c r="P32" i="3"/>
  <c r="N32" i="3"/>
  <c r="L32" i="3"/>
  <c r="Q32" i="3"/>
  <c r="O32" i="3"/>
  <c r="M32" i="3"/>
  <c r="K32" i="3"/>
  <c r="U20" i="3"/>
  <c r="P20" i="3"/>
  <c r="N20" i="3"/>
  <c r="L20" i="3"/>
  <c r="Q20" i="3"/>
  <c r="O20" i="3"/>
  <c r="M20" i="3"/>
  <c r="K20" i="3"/>
  <c r="U6" i="3"/>
  <c r="P6" i="3"/>
  <c r="N6" i="3"/>
  <c r="L6" i="3"/>
  <c r="Q6" i="3"/>
  <c r="O6" i="3"/>
  <c r="M6" i="3"/>
  <c r="K6" i="3"/>
  <c r="Q16" i="6"/>
  <c r="O16" i="6"/>
  <c r="M16" i="6"/>
  <c r="K16" i="6"/>
  <c r="U16" i="6"/>
  <c r="P16" i="6"/>
  <c r="L16" i="6"/>
  <c r="N16" i="6"/>
  <c r="Q10" i="6"/>
  <c r="O10" i="6"/>
  <c r="M10" i="6"/>
  <c r="K10" i="6"/>
  <c r="U10" i="6"/>
  <c r="P10" i="6"/>
  <c r="L10" i="6"/>
  <c r="N10" i="6"/>
  <c r="Q6" i="6"/>
  <c r="O6" i="6"/>
  <c r="M6" i="6"/>
  <c r="K6" i="6"/>
  <c r="U6" i="6"/>
  <c r="P6" i="6"/>
  <c r="L6" i="6"/>
  <c r="N6" i="6"/>
  <c r="U16" i="5"/>
  <c r="P16" i="5"/>
  <c r="N16" i="5"/>
  <c r="L16" i="5"/>
  <c r="M16" i="5"/>
  <c r="O16" i="5"/>
  <c r="Q16" i="5" s="1"/>
  <c r="K16" i="5"/>
  <c r="Q6" i="5"/>
  <c r="O6" i="5"/>
  <c r="M6" i="5"/>
  <c r="K6" i="5"/>
  <c r="U6" i="5"/>
  <c r="P6" i="5"/>
  <c r="L6" i="5"/>
  <c r="N6" i="5"/>
  <c r="O216" i="4"/>
  <c r="Q216" i="4" s="1"/>
  <c r="M216" i="4"/>
  <c r="U216" i="4"/>
  <c r="P216" i="4"/>
  <c r="L216" i="4"/>
  <c r="N216" i="4"/>
  <c r="O208" i="4"/>
  <c r="Q208" i="4" s="1"/>
  <c r="M208" i="4"/>
  <c r="U208" i="4"/>
  <c r="P208" i="4"/>
  <c r="L208" i="4"/>
  <c r="N208" i="4"/>
  <c r="O204" i="4"/>
  <c r="Q204" i="4" s="1"/>
  <c r="M204" i="4"/>
  <c r="U204" i="4"/>
  <c r="P204" i="4"/>
  <c r="L204" i="4"/>
  <c r="N204" i="4"/>
  <c r="O120" i="4"/>
  <c r="Q120" i="4" s="1"/>
  <c r="M120" i="4"/>
  <c r="U120" i="4"/>
  <c r="P120" i="4"/>
  <c r="L120" i="4"/>
  <c r="N120" i="4"/>
  <c r="O112" i="4"/>
  <c r="Q112" i="4" s="1"/>
  <c r="M112" i="4"/>
  <c r="U112" i="4"/>
  <c r="P112" i="4"/>
  <c r="L112" i="4"/>
  <c r="N112" i="4"/>
  <c r="O100" i="4"/>
  <c r="Q100" i="4" s="1"/>
  <c r="M100" i="4"/>
  <c r="U100" i="4"/>
  <c r="P100" i="4"/>
  <c r="L100" i="4"/>
  <c r="N100" i="4"/>
  <c r="O86" i="4"/>
  <c r="Q86" i="4" s="1"/>
  <c r="M86" i="4"/>
  <c r="U86" i="4"/>
  <c r="P86" i="4"/>
  <c r="L86" i="4"/>
  <c r="N86" i="4"/>
  <c r="O76" i="4"/>
  <c r="Q76" i="4" s="1"/>
  <c r="M76" i="4"/>
  <c r="U76" i="4"/>
  <c r="P76" i="4"/>
  <c r="L76" i="4"/>
  <c r="N76" i="4"/>
  <c r="O66" i="4"/>
  <c r="Q66" i="4" s="1"/>
  <c r="M66" i="4"/>
  <c r="U66" i="4"/>
  <c r="P66" i="4"/>
  <c r="L66" i="4"/>
  <c r="N66" i="4"/>
  <c r="O58" i="4"/>
  <c r="Q58" i="4" s="1"/>
  <c r="M58" i="4"/>
  <c r="U58" i="4"/>
  <c r="P58" i="4"/>
  <c r="L58" i="4"/>
  <c r="N58" i="4"/>
  <c r="O50" i="4"/>
  <c r="Q50" i="4" s="1"/>
  <c r="M50" i="4"/>
  <c r="U50" i="4"/>
  <c r="P50" i="4"/>
  <c r="L50" i="4"/>
  <c r="N50" i="4"/>
  <c r="O44" i="4"/>
  <c r="Q44" i="4" s="1"/>
  <c r="M44" i="4"/>
  <c r="U44" i="4"/>
  <c r="P44" i="4"/>
  <c r="L44" i="4"/>
  <c r="N44" i="4"/>
  <c r="O34" i="4"/>
  <c r="Q34" i="4" s="1"/>
  <c r="M34" i="4"/>
  <c r="U34" i="4"/>
  <c r="P34" i="4"/>
  <c r="L34" i="4"/>
  <c r="N34" i="4"/>
  <c r="O26" i="4"/>
  <c r="Q26" i="4" s="1"/>
  <c r="M26" i="4"/>
  <c r="U26" i="4"/>
  <c r="P26" i="4"/>
  <c r="L26" i="4"/>
  <c r="N26" i="4"/>
  <c r="O20" i="4"/>
  <c r="Q20" i="4" s="1"/>
  <c r="M20" i="4"/>
  <c r="U20" i="4"/>
  <c r="P20" i="4"/>
  <c r="L20" i="4"/>
  <c r="N20" i="4"/>
  <c r="O16" i="4"/>
  <c r="Q16" i="4" s="1"/>
  <c r="M16" i="4"/>
  <c r="U16" i="4"/>
  <c r="P16" i="4"/>
  <c r="L16" i="4"/>
  <c r="N16" i="4"/>
  <c r="Q251" i="3"/>
  <c r="O251" i="3"/>
  <c r="M251" i="3"/>
  <c r="K251" i="3"/>
  <c r="N251" i="3"/>
  <c r="P251" i="3"/>
  <c r="U251" i="3"/>
  <c r="L251" i="3"/>
  <c r="Q245" i="3"/>
  <c r="O245" i="3"/>
  <c r="U245" i="3"/>
  <c r="P245" i="3"/>
  <c r="M245" i="3"/>
  <c r="K245" i="3"/>
  <c r="L245" i="3"/>
  <c r="N245" i="3"/>
  <c r="Q237" i="3"/>
  <c r="O237" i="3"/>
  <c r="M237" i="3"/>
  <c r="K237" i="3"/>
  <c r="U237" i="3"/>
  <c r="P237" i="3"/>
  <c r="L237" i="3"/>
  <c r="N237" i="3"/>
  <c r="Q225" i="3"/>
  <c r="O225" i="3"/>
  <c r="M225" i="3"/>
  <c r="K225" i="3"/>
  <c r="U225" i="3"/>
  <c r="P225" i="3"/>
  <c r="L225" i="3"/>
  <c r="N225" i="3"/>
  <c r="Q215" i="3"/>
  <c r="O215" i="3"/>
  <c r="M215" i="3"/>
  <c r="K215" i="3"/>
  <c r="N215" i="3"/>
  <c r="U215" i="3"/>
  <c r="P215" i="3"/>
  <c r="L215" i="3"/>
  <c r="Q209" i="3"/>
  <c r="O209" i="3"/>
  <c r="M209" i="3"/>
  <c r="K209" i="3"/>
  <c r="U209" i="3"/>
  <c r="P209" i="3"/>
  <c r="L209" i="3"/>
  <c r="N209" i="3"/>
  <c r="Q203" i="3"/>
  <c r="O203" i="3"/>
  <c r="M203" i="3"/>
  <c r="K203" i="3"/>
  <c r="N203" i="3"/>
  <c r="U203" i="3"/>
  <c r="P203" i="3"/>
  <c r="L203" i="3"/>
  <c r="Q199" i="3"/>
  <c r="O199" i="3"/>
  <c r="M199" i="3"/>
  <c r="K199" i="3"/>
  <c r="N199" i="3"/>
  <c r="U199" i="3"/>
  <c r="P199" i="3"/>
  <c r="L199" i="3"/>
  <c r="Q191" i="3"/>
  <c r="O191" i="3"/>
  <c r="M191" i="3"/>
  <c r="K191" i="3"/>
  <c r="N191" i="3"/>
  <c r="U191" i="3"/>
  <c r="P191" i="3"/>
  <c r="L191" i="3"/>
  <c r="Q179" i="3"/>
  <c r="O179" i="3"/>
  <c r="M179" i="3"/>
  <c r="K179" i="3"/>
  <c r="N179" i="3"/>
  <c r="U179" i="3"/>
  <c r="L179" i="3"/>
  <c r="P179" i="3"/>
  <c r="Q161" i="3"/>
  <c r="O161" i="3"/>
  <c r="M161" i="3"/>
  <c r="K161" i="3"/>
  <c r="U161" i="3"/>
  <c r="P161" i="3"/>
  <c r="L161" i="3"/>
  <c r="N161" i="3"/>
  <c r="Q149" i="3"/>
  <c r="O149" i="3"/>
  <c r="M149" i="3"/>
  <c r="K149" i="3"/>
  <c r="U149" i="3"/>
  <c r="P149" i="3"/>
  <c r="L149" i="3"/>
  <c r="N149" i="3"/>
  <c r="Q136" i="3"/>
  <c r="O136" i="3"/>
  <c r="M136" i="3"/>
  <c r="K136" i="3"/>
  <c r="U136" i="3"/>
  <c r="P136" i="3"/>
  <c r="N136" i="3"/>
  <c r="L136" i="3"/>
  <c r="Q130" i="3"/>
  <c r="O130" i="3"/>
  <c r="M130" i="3"/>
  <c r="K130" i="3"/>
  <c r="U130" i="3"/>
  <c r="P130" i="3"/>
  <c r="N130" i="3"/>
  <c r="L130" i="3"/>
  <c r="Q121" i="3"/>
  <c r="O121" i="3"/>
  <c r="M121" i="3"/>
  <c r="K121" i="3"/>
  <c r="N121" i="3"/>
  <c r="U121" i="3"/>
  <c r="P121" i="3"/>
  <c r="L121" i="3"/>
  <c r="Q109" i="3"/>
  <c r="O109" i="3"/>
  <c r="M109" i="3"/>
  <c r="K109" i="3"/>
  <c r="N109" i="3"/>
  <c r="U109" i="3"/>
  <c r="P109" i="3"/>
  <c r="L109" i="3"/>
  <c r="Q105" i="3"/>
  <c r="O105" i="3"/>
  <c r="M105" i="3"/>
  <c r="K105" i="3"/>
  <c r="N105" i="3"/>
  <c r="U105" i="3"/>
  <c r="P105" i="3"/>
  <c r="L105" i="3"/>
  <c r="Q93" i="3"/>
  <c r="O93" i="3"/>
  <c r="M93" i="3"/>
  <c r="K93" i="3"/>
  <c r="N93" i="3"/>
  <c r="U93" i="3"/>
  <c r="P93" i="3"/>
  <c r="L93" i="3"/>
  <c r="Q81" i="3"/>
  <c r="O81" i="3"/>
  <c r="M81" i="3"/>
  <c r="K81" i="3"/>
  <c r="N81" i="3"/>
  <c r="U81" i="3"/>
  <c r="P81" i="3"/>
  <c r="L81" i="3"/>
  <c r="Q71" i="3"/>
  <c r="O71" i="3"/>
  <c r="M71" i="3"/>
  <c r="K71" i="3"/>
  <c r="U71" i="3"/>
  <c r="P71" i="3"/>
  <c r="L71" i="3"/>
  <c r="N71" i="3"/>
  <c r="Q65" i="3"/>
  <c r="O65" i="3"/>
  <c r="M65" i="3"/>
  <c r="K65" i="3"/>
  <c r="N65" i="3"/>
  <c r="U65" i="3"/>
  <c r="P65" i="3"/>
  <c r="L65" i="3"/>
  <c r="Q57" i="3"/>
  <c r="O57" i="3"/>
  <c r="M57" i="3"/>
  <c r="K57" i="3"/>
  <c r="U57" i="3"/>
  <c r="P57" i="3"/>
  <c r="N57" i="3"/>
  <c r="L57" i="3"/>
  <c r="Q47" i="3"/>
  <c r="O47" i="3"/>
  <c r="M47" i="3"/>
  <c r="K47" i="3"/>
  <c r="U47" i="3"/>
  <c r="P47" i="3"/>
  <c r="N47" i="3"/>
  <c r="L47" i="3"/>
  <c r="Q43" i="3"/>
  <c r="O43" i="3"/>
  <c r="M43" i="3"/>
  <c r="K43" i="3"/>
  <c r="U43" i="3"/>
  <c r="P43" i="3"/>
  <c r="N43" i="3"/>
  <c r="L43" i="3"/>
  <c r="Q31" i="3"/>
  <c r="O31" i="3"/>
  <c r="M31" i="3"/>
  <c r="K31" i="3"/>
  <c r="U31" i="3"/>
  <c r="P31" i="3"/>
  <c r="N31" i="3"/>
  <c r="L31" i="3"/>
  <c r="Q27" i="3"/>
  <c r="O27" i="3"/>
  <c r="M27" i="3"/>
  <c r="K27" i="3"/>
  <c r="U27" i="3"/>
  <c r="P27" i="3"/>
  <c r="N27" i="3"/>
  <c r="L27" i="3"/>
  <c r="Q19" i="3"/>
  <c r="O19" i="3"/>
  <c r="M19" i="3"/>
  <c r="K19" i="3"/>
  <c r="U19" i="3"/>
  <c r="P19" i="3"/>
  <c r="N19" i="3"/>
  <c r="L19" i="3"/>
  <c r="Q15" i="3"/>
  <c r="O15" i="3"/>
  <c r="M15" i="3"/>
  <c r="K15" i="3"/>
  <c r="U15" i="3"/>
  <c r="P15" i="3"/>
  <c r="N15" i="3"/>
  <c r="L15" i="3"/>
  <c r="Q11" i="3"/>
  <c r="O11" i="3"/>
  <c r="M11" i="3"/>
  <c r="K11" i="3"/>
  <c r="U11" i="3"/>
  <c r="P11" i="3"/>
  <c r="N11" i="3"/>
  <c r="L11" i="3"/>
  <c r="Q5" i="3"/>
  <c r="O5" i="3"/>
  <c r="M5" i="3"/>
  <c r="K5" i="3"/>
  <c r="U5" i="3"/>
  <c r="P5" i="3"/>
  <c r="N5" i="3"/>
  <c r="L5" i="3"/>
  <c r="U15" i="6"/>
  <c r="P15" i="6"/>
  <c r="N15" i="6"/>
  <c r="L15" i="6"/>
  <c r="O15" i="6"/>
  <c r="K15" i="6"/>
  <c r="M15" i="6"/>
  <c r="Q15" i="6"/>
  <c r="U9" i="6"/>
  <c r="P9" i="6"/>
  <c r="N9" i="6"/>
  <c r="L9" i="6"/>
  <c r="O9" i="6"/>
  <c r="K9" i="6"/>
  <c r="Q9" i="6"/>
  <c r="M9" i="6"/>
  <c r="U5" i="6"/>
  <c r="P5" i="6"/>
  <c r="N5" i="6"/>
  <c r="L5" i="6"/>
  <c r="O5" i="6"/>
  <c r="K5" i="6"/>
  <c r="M5" i="6"/>
  <c r="Q5" i="6"/>
  <c r="Q15" i="5"/>
  <c r="O15" i="5"/>
  <c r="M15" i="5"/>
  <c r="U15" i="5"/>
  <c r="P15" i="5"/>
  <c r="L15" i="5"/>
  <c r="N15" i="5"/>
  <c r="K15" i="5"/>
  <c r="U5" i="5"/>
  <c r="P5" i="5"/>
  <c r="N5" i="5"/>
  <c r="L5" i="5"/>
  <c r="O5" i="5"/>
  <c r="Q5" i="5" s="1"/>
  <c r="K5" i="5"/>
  <c r="M5" i="5"/>
  <c r="O221" i="4"/>
  <c r="Q221" i="4" s="1"/>
  <c r="M221" i="4"/>
  <c r="N221" i="4"/>
  <c r="U221" i="4"/>
  <c r="L221" i="4"/>
  <c r="P221" i="4"/>
  <c r="Q215" i="4"/>
  <c r="O215" i="4"/>
  <c r="M215" i="4"/>
  <c r="N215" i="4"/>
  <c r="P215" i="4"/>
  <c r="U215" i="4"/>
  <c r="L215" i="4"/>
  <c r="O207" i="4"/>
  <c r="Q207" i="4" s="1"/>
  <c r="M207" i="4"/>
  <c r="N207" i="4"/>
  <c r="P207" i="4"/>
  <c r="U207" i="4"/>
  <c r="L207" i="4"/>
  <c r="Q203" i="4"/>
  <c r="O203" i="4"/>
  <c r="M203" i="4"/>
  <c r="N203" i="4"/>
  <c r="P203" i="4"/>
  <c r="L203" i="4"/>
  <c r="U203" i="4"/>
  <c r="O119" i="4"/>
  <c r="Q119" i="4" s="1"/>
  <c r="M119" i="4"/>
  <c r="N119" i="4"/>
  <c r="U119" i="4"/>
  <c r="L119" i="4"/>
  <c r="P119" i="4"/>
  <c r="Q111" i="4"/>
  <c r="O111" i="4"/>
  <c r="M111" i="4"/>
  <c r="N111" i="4"/>
  <c r="U111" i="4"/>
  <c r="L111" i="4"/>
  <c r="P111" i="4"/>
  <c r="O99" i="4"/>
  <c r="Q99" i="4" s="1"/>
  <c r="M99" i="4"/>
  <c r="N99" i="4"/>
  <c r="U99" i="4"/>
  <c r="L99" i="4"/>
  <c r="P99" i="4"/>
  <c r="Q85" i="4"/>
  <c r="O85" i="4"/>
  <c r="M85" i="4"/>
  <c r="N85" i="4"/>
  <c r="P85" i="4"/>
  <c r="U85" i="4"/>
  <c r="L85" i="4"/>
  <c r="O75" i="4"/>
  <c r="Q75" i="4" s="1"/>
  <c r="M75" i="4"/>
  <c r="N75" i="4"/>
  <c r="U75" i="4"/>
  <c r="L75" i="4"/>
  <c r="P75" i="4"/>
  <c r="Q65" i="4"/>
  <c r="O65" i="4"/>
  <c r="M65" i="4"/>
  <c r="N65" i="4"/>
  <c r="U65" i="4"/>
  <c r="L65" i="4"/>
  <c r="P65" i="4"/>
  <c r="O57" i="4"/>
  <c r="Q57" i="4" s="1"/>
  <c r="M57" i="4"/>
  <c r="N57" i="4"/>
  <c r="U57" i="4"/>
  <c r="L57" i="4"/>
  <c r="P57" i="4"/>
  <c r="Q49" i="4"/>
  <c r="O49" i="4"/>
  <c r="M49" i="4"/>
  <c r="N49" i="4"/>
  <c r="U49" i="4"/>
  <c r="L49" i="4"/>
  <c r="P49" i="4"/>
  <c r="O43" i="4"/>
  <c r="Q43" i="4" s="1"/>
  <c r="M43" i="4"/>
  <c r="N43" i="4"/>
  <c r="U43" i="4"/>
  <c r="L43" i="4"/>
  <c r="P43" i="4"/>
  <c r="Q33" i="4"/>
  <c r="O33" i="4"/>
  <c r="M33" i="4"/>
  <c r="N33" i="4"/>
  <c r="P33" i="4"/>
  <c r="U33" i="4"/>
  <c r="L33" i="4"/>
  <c r="O25" i="4"/>
  <c r="Q25" i="4" s="1"/>
  <c r="M25" i="4"/>
  <c r="N25" i="4"/>
  <c r="P25" i="4"/>
  <c r="U25" i="4"/>
  <c r="L25" i="4"/>
  <c r="Q19" i="4"/>
  <c r="O19" i="4"/>
  <c r="M19" i="4"/>
  <c r="N19" i="4"/>
  <c r="U19" i="4"/>
  <c r="L19" i="4"/>
  <c r="P19" i="4"/>
  <c r="O15" i="4"/>
  <c r="Q15" i="4" s="1"/>
  <c r="M15" i="4"/>
  <c r="N15" i="4"/>
  <c r="U15" i="4"/>
  <c r="L15" i="4"/>
  <c r="P15" i="4"/>
  <c r="Q11" i="4"/>
  <c r="O11" i="4"/>
  <c r="M11" i="4"/>
  <c r="N11" i="4"/>
  <c r="U11" i="4"/>
  <c r="L11" i="4"/>
  <c r="P11" i="4"/>
  <c r="O7" i="4"/>
  <c r="Q7" i="4" s="1"/>
  <c r="M7" i="4"/>
  <c r="N7" i="4"/>
  <c r="U7" i="4"/>
  <c r="L7" i="4"/>
  <c r="P7" i="4"/>
  <c r="U250" i="3"/>
  <c r="P250" i="3"/>
  <c r="N250" i="3"/>
  <c r="L250" i="3"/>
  <c r="Q250" i="3"/>
  <c r="M250" i="3"/>
  <c r="O250" i="3"/>
  <c r="K250" i="3"/>
  <c r="U244" i="3"/>
  <c r="P244" i="3"/>
  <c r="N244" i="3"/>
  <c r="L244" i="3"/>
  <c r="O244" i="3"/>
  <c r="K244" i="3"/>
  <c r="Q244" i="3"/>
  <c r="M244" i="3"/>
  <c r="U236" i="3"/>
  <c r="P236" i="3"/>
  <c r="N236" i="3"/>
  <c r="L236" i="3"/>
  <c r="O236" i="3"/>
  <c r="K236" i="3"/>
  <c r="Q236" i="3"/>
  <c r="M236" i="3"/>
  <c r="U224" i="3"/>
  <c r="P224" i="3"/>
  <c r="N224" i="3"/>
  <c r="L224" i="3"/>
  <c r="O224" i="3"/>
  <c r="K224" i="3"/>
  <c r="Q224" i="3"/>
  <c r="M224" i="3"/>
  <c r="U214" i="3"/>
  <c r="P214" i="3"/>
  <c r="N214" i="3"/>
  <c r="L214" i="3"/>
  <c r="Q214" i="3"/>
  <c r="M214" i="3"/>
  <c r="O214" i="3"/>
  <c r="K214" i="3"/>
  <c r="U208" i="3"/>
  <c r="P208" i="3"/>
  <c r="N208" i="3"/>
  <c r="L208" i="3"/>
  <c r="O208" i="3"/>
  <c r="K208" i="3"/>
  <c r="Q208" i="3"/>
  <c r="M208" i="3"/>
  <c r="U202" i="3"/>
  <c r="P202" i="3"/>
  <c r="N202" i="3"/>
  <c r="L202" i="3"/>
  <c r="Q202" i="3"/>
  <c r="M202" i="3"/>
  <c r="O202" i="3"/>
  <c r="K202" i="3"/>
  <c r="U198" i="3"/>
  <c r="P198" i="3"/>
  <c r="N198" i="3"/>
  <c r="L198" i="3"/>
  <c r="Q198" i="3"/>
  <c r="M198" i="3"/>
  <c r="O198" i="3"/>
  <c r="K198" i="3"/>
  <c r="U190" i="3"/>
  <c r="P190" i="3"/>
  <c r="N190" i="3"/>
  <c r="L190" i="3"/>
  <c r="Q190" i="3"/>
  <c r="M190" i="3"/>
  <c r="O190" i="3"/>
  <c r="K190" i="3"/>
  <c r="U178" i="3"/>
  <c r="P178" i="3"/>
  <c r="N178" i="3"/>
  <c r="L178" i="3"/>
  <c r="Q178" i="3"/>
  <c r="M178" i="3"/>
  <c r="K178" i="3"/>
  <c r="O178" i="3"/>
  <c r="U172" i="3"/>
  <c r="P172" i="3"/>
  <c r="N172" i="3"/>
  <c r="L172" i="3"/>
  <c r="O172" i="3"/>
  <c r="K172" i="3"/>
  <c r="M172" i="3"/>
  <c r="Q172" i="3"/>
  <c r="U160" i="3"/>
  <c r="P160" i="3"/>
  <c r="N160" i="3"/>
  <c r="L160" i="3"/>
  <c r="O160" i="3"/>
  <c r="K160" i="3"/>
  <c r="Q160" i="3"/>
  <c r="M160" i="3"/>
  <c r="U148" i="3"/>
  <c r="P148" i="3"/>
  <c r="N148" i="3"/>
  <c r="L148" i="3"/>
  <c r="O148" i="3"/>
  <c r="K148" i="3"/>
  <c r="M148" i="3"/>
  <c r="Q148" i="3"/>
  <c r="U135" i="3"/>
  <c r="P135" i="3"/>
  <c r="N135" i="3"/>
  <c r="L135" i="3"/>
  <c r="Q135" i="3"/>
  <c r="O135" i="3"/>
  <c r="M135" i="3"/>
  <c r="K135" i="3"/>
  <c r="U129" i="3"/>
  <c r="P129" i="3"/>
  <c r="N129" i="3"/>
  <c r="L129" i="3"/>
  <c r="Q129" i="3"/>
  <c r="O129" i="3"/>
  <c r="M129" i="3"/>
  <c r="K129" i="3"/>
  <c r="U120" i="3"/>
  <c r="P120" i="3"/>
  <c r="N120" i="3"/>
  <c r="L120" i="3"/>
  <c r="Q120" i="3"/>
  <c r="M120" i="3"/>
  <c r="O120" i="3"/>
  <c r="K120" i="3"/>
  <c r="U108" i="3"/>
  <c r="P108" i="3"/>
  <c r="N108" i="3"/>
  <c r="L108" i="3"/>
  <c r="Q108" i="3"/>
  <c r="M108" i="3"/>
  <c r="O108" i="3"/>
  <c r="K108" i="3"/>
  <c r="U104" i="3"/>
  <c r="P104" i="3"/>
  <c r="N104" i="3"/>
  <c r="L104" i="3"/>
  <c r="Q104" i="3"/>
  <c r="M104" i="3"/>
  <c r="O104" i="3"/>
  <c r="K104" i="3"/>
  <c r="U100" i="3"/>
  <c r="P100" i="3"/>
  <c r="N100" i="3"/>
  <c r="L100" i="3"/>
  <c r="Q100" i="3"/>
  <c r="M100" i="3"/>
  <c r="O100" i="3"/>
  <c r="K100" i="3"/>
  <c r="U92" i="3"/>
  <c r="P92" i="3"/>
  <c r="N92" i="3"/>
  <c r="L92" i="3"/>
  <c r="Q92" i="3"/>
  <c r="M92" i="3"/>
  <c r="O92" i="3"/>
  <c r="K92" i="3"/>
  <c r="U80" i="3"/>
  <c r="P80" i="3"/>
  <c r="N80" i="3"/>
  <c r="L80" i="3"/>
  <c r="Q80" i="3"/>
  <c r="M80" i="3"/>
  <c r="O80" i="3"/>
  <c r="K80" i="3"/>
  <c r="U70" i="3"/>
  <c r="P70" i="3"/>
  <c r="N70" i="3"/>
  <c r="L70" i="3"/>
  <c r="O70" i="3"/>
  <c r="K70" i="3"/>
  <c r="Q70" i="3"/>
  <c r="M70" i="3"/>
  <c r="U64" i="3"/>
  <c r="P64" i="3"/>
  <c r="N64" i="3"/>
  <c r="L64" i="3"/>
  <c r="Q64" i="3"/>
  <c r="M64" i="3"/>
  <c r="O64" i="3"/>
  <c r="K64" i="3"/>
  <c r="U56" i="3"/>
  <c r="P56" i="3"/>
  <c r="N56" i="3"/>
  <c r="L56" i="3"/>
  <c r="Q56" i="3"/>
  <c r="O56" i="3"/>
  <c r="M56" i="3"/>
  <c r="K56" i="3"/>
  <c r="U46" i="3"/>
  <c r="P46" i="3"/>
  <c r="N46" i="3"/>
  <c r="L46" i="3"/>
  <c r="Q46" i="3"/>
  <c r="O46" i="3"/>
  <c r="M46" i="3"/>
  <c r="K46" i="3"/>
  <c r="U42" i="3"/>
  <c r="P42" i="3"/>
  <c r="N42" i="3"/>
  <c r="L42" i="3"/>
  <c r="Q42" i="3"/>
  <c r="O42" i="3"/>
  <c r="M42" i="3"/>
  <c r="K42" i="3"/>
  <c r="U38" i="3"/>
  <c r="P38" i="3"/>
  <c r="N38" i="3"/>
  <c r="L38" i="3"/>
  <c r="Q38" i="3"/>
  <c r="O38" i="3"/>
  <c r="M38" i="3"/>
  <c r="K38" i="3"/>
  <c r="U30" i="3"/>
  <c r="P30" i="3"/>
  <c r="N30" i="3"/>
  <c r="L30" i="3"/>
  <c r="Q30" i="3"/>
  <c r="O30" i="3"/>
  <c r="M30" i="3"/>
  <c r="K30" i="3"/>
  <c r="U26" i="3"/>
  <c r="P26" i="3"/>
  <c r="N26" i="3"/>
  <c r="L26" i="3"/>
  <c r="Q26" i="3"/>
  <c r="O26" i="3"/>
  <c r="M26" i="3"/>
  <c r="K26" i="3"/>
  <c r="U18" i="3"/>
  <c r="P18" i="3"/>
  <c r="N18" i="3"/>
  <c r="L18" i="3"/>
  <c r="Q18" i="3"/>
  <c r="O18" i="3"/>
  <c r="M18" i="3"/>
  <c r="K18" i="3"/>
  <c r="U14" i="3"/>
  <c r="P14" i="3"/>
  <c r="N14" i="3"/>
  <c r="L14" i="3"/>
  <c r="Q14" i="3"/>
  <c r="O14" i="3"/>
  <c r="M14" i="3"/>
  <c r="K14" i="3"/>
  <c r="U10" i="3"/>
  <c r="P10" i="3"/>
  <c r="N10" i="3"/>
  <c r="L10" i="3"/>
  <c r="Q10" i="3"/>
  <c r="O10" i="3"/>
  <c r="M10" i="3"/>
  <c r="K10" i="3"/>
  <c r="U4" i="3"/>
  <c r="P4" i="3"/>
  <c r="N4" i="3"/>
  <c r="L4" i="3"/>
  <c r="Q4" i="3"/>
  <c r="O4" i="3"/>
  <c r="M4" i="3"/>
  <c r="K4" i="3"/>
  <c r="N90" i="1"/>
  <c r="M90" i="1"/>
  <c r="K90" i="1"/>
  <c r="J90" i="1"/>
  <c r="L90" i="1"/>
  <c r="O3" i="8"/>
  <c r="Q3" i="8" s="1"/>
  <c r="M3" i="8"/>
  <c r="K3" i="8"/>
  <c r="N3" i="8"/>
  <c r="P3" i="8"/>
  <c r="L3" i="8"/>
  <c r="U3" i="8"/>
  <c r="U4" i="8"/>
  <c r="R4" i="8"/>
  <c r="P4" i="8"/>
  <c r="N4" i="8"/>
  <c r="L4" i="8"/>
  <c r="S4" i="8"/>
  <c r="O4" i="8"/>
  <c r="K4" i="8"/>
  <c r="Q4" i="8"/>
  <c r="M4" i="8"/>
  <c r="T4" i="8"/>
  <c r="Y4" i="8"/>
  <c r="Q18" i="6"/>
  <c r="O18" i="6"/>
  <c r="M18" i="6"/>
  <c r="K18" i="6"/>
  <c r="U18" i="6"/>
  <c r="P18" i="6"/>
  <c r="L18" i="6"/>
  <c r="N18" i="6"/>
  <c r="Q14" i="6"/>
  <c r="O14" i="6"/>
  <c r="M14" i="6"/>
  <c r="K14" i="6"/>
  <c r="N14" i="6"/>
  <c r="U14" i="6"/>
  <c r="L14" i="6"/>
  <c r="P14" i="6"/>
  <c r="S12" i="6"/>
  <c r="Q12" i="6"/>
  <c r="O12" i="6"/>
  <c r="M12" i="6"/>
  <c r="K12" i="6"/>
  <c r="R12" i="6"/>
  <c r="N12" i="6"/>
  <c r="U12" i="6"/>
  <c r="L12" i="6"/>
  <c r="P12" i="6"/>
  <c r="T12" i="6"/>
  <c r="Y12" i="6"/>
  <c r="Q8" i="6"/>
  <c r="O8" i="6"/>
  <c r="M8" i="6"/>
  <c r="K8" i="6"/>
  <c r="N8" i="6"/>
  <c r="P8" i="6"/>
  <c r="L8" i="6"/>
  <c r="U8" i="6"/>
  <c r="Q4" i="6"/>
  <c r="O4" i="6"/>
  <c r="M4" i="6"/>
  <c r="K4" i="6"/>
  <c r="N4" i="6"/>
  <c r="U4" i="6"/>
  <c r="L4" i="6"/>
  <c r="P4" i="6"/>
  <c r="U13" i="6"/>
  <c r="P13" i="6"/>
  <c r="N13" i="6"/>
  <c r="L13" i="6"/>
  <c r="Q13" i="6"/>
  <c r="M13" i="6"/>
  <c r="K13" i="6"/>
  <c r="O13" i="6"/>
  <c r="U7" i="6"/>
  <c r="R7" i="6"/>
  <c r="P7" i="6"/>
  <c r="N7" i="6"/>
  <c r="L7" i="6"/>
  <c r="Q7" i="6"/>
  <c r="M7" i="6"/>
  <c r="O7" i="6"/>
  <c r="K7" i="6"/>
  <c r="S7" i="6"/>
  <c r="Y7" i="6"/>
  <c r="T7" i="6"/>
  <c r="U3" i="6"/>
  <c r="P3" i="6"/>
  <c r="N3" i="6"/>
  <c r="L3" i="6"/>
  <c r="Q3" i="6"/>
  <c r="M3" i="6"/>
  <c r="K3" i="6"/>
  <c r="O3" i="6"/>
  <c r="S23" i="5"/>
  <c r="Q23" i="5"/>
  <c r="O23" i="5"/>
  <c r="M23" i="5"/>
  <c r="K23" i="5"/>
  <c r="U23" i="5"/>
  <c r="P23" i="5"/>
  <c r="L23" i="5"/>
  <c r="N23" i="5"/>
  <c r="R23" i="5"/>
  <c r="T23" i="5"/>
  <c r="Y23" i="5"/>
  <c r="S21" i="5"/>
  <c r="Q21" i="5"/>
  <c r="O21" i="5"/>
  <c r="M21" i="5"/>
  <c r="K21" i="5"/>
  <c r="R21" i="5"/>
  <c r="N21" i="5"/>
  <c r="U21" i="5"/>
  <c r="L21" i="5"/>
  <c r="P21" i="5"/>
  <c r="Y21" i="5"/>
  <c r="T21" i="5"/>
  <c r="U22" i="5"/>
  <c r="R22" i="5"/>
  <c r="P22" i="5"/>
  <c r="N22" i="5"/>
  <c r="L22" i="5"/>
  <c r="S22" i="5"/>
  <c r="O22" i="5"/>
  <c r="K22" i="5"/>
  <c r="M22" i="5"/>
  <c r="Q22" i="5"/>
  <c r="T22" i="5"/>
  <c r="Y22" i="5"/>
  <c r="O14" i="5"/>
  <c r="Q14" i="5" s="1"/>
  <c r="M14" i="5"/>
  <c r="K14" i="5"/>
  <c r="U14" i="5"/>
  <c r="P14" i="5"/>
  <c r="L14" i="5"/>
  <c r="N14" i="5"/>
  <c r="S12" i="5"/>
  <c r="Q12" i="5"/>
  <c r="O12" i="5"/>
  <c r="M12" i="5"/>
  <c r="K12" i="5"/>
  <c r="R12" i="5"/>
  <c r="N12" i="5"/>
  <c r="U12" i="5"/>
  <c r="L12" i="5"/>
  <c r="P12" i="5"/>
  <c r="T12" i="5"/>
  <c r="Y12" i="5"/>
  <c r="Q4" i="5"/>
  <c r="O4" i="5"/>
  <c r="M4" i="5"/>
  <c r="K4" i="5"/>
  <c r="N4" i="5"/>
  <c r="U4" i="5"/>
  <c r="L4" i="5"/>
  <c r="P4" i="5"/>
  <c r="U13" i="5"/>
  <c r="P13" i="5"/>
  <c r="N13" i="5"/>
  <c r="L13" i="5"/>
  <c r="O13" i="5"/>
  <c r="Q13" i="5" s="1"/>
  <c r="K13" i="5"/>
  <c r="M13" i="5"/>
  <c r="U20" i="5"/>
  <c r="R20" i="5"/>
  <c r="P20" i="5"/>
  <c r="N20" i="5"/>
  <c r="L20" i="5"/>
  <c r="Q20" i="5"/>
  <c r="M20" i="5"/>
  <c r="S20" i="5"/>
  <c r="K20" i="5"/>
  <c r="O20" i="5"/>
  <c r="Y20" i="5"/>
  <c r="T20" i="5"/>
  <c r="U3" i="5"/>
  <c r="P3" i="5"/>
  <c r="N3" i="5"/>
  <c r="L3" i="5"/>
  <c r="M3" i="5"/>
  <c r="K3" i="5"/>
  <c r="O3" i="5"/>
  <c r="Q3" i="5" s="1"/>
  <c r="O224" i="4"/>
  <c r="Q224" i="4" s="1"/>
  <c r="M224" i="4"/>
  <c r="U224" i="4"/>
  <c r="P224" i="4"/>
  <c r="L224" i="4"/>
  <c r="N224" i="4"/>
  <c r="S222" i="4"/>
  <c r="Q222" i="4"/>
  <c r="O222" i="4"/>
  <c r="M222" i="4"/>
  <c r="U222" i="4"/>
  <c r="P222" i="4"/>
  <c r="L222" i="4"/>
  <c r="N222" i="4"/>
  <c r="R222" i="4"/>
  <c r="T222" i="4"/>
  <c r="Y222" i="4"/>
  <c r="O220" i="4"/>
  <c r="Q220" i="4" s="1"/>
  <c r="M220" i="4"/>
  <c r="U220" i="4"/>
  <c r="P220" i="4"/>
  <c r="L220" i="4"/>
  <c r="N220" i="4"/>
  <c r="S218" i="4"/>
  <c r="Q218" i="4"/>
  <c r="O218" i="4"/>
  <c r="M218" i="4"/>
  <c r="U218" i="4"/>
  <c r="P218" i="4"/>
  <c r="L218" i="4"/>
  <c r="N218" i="4"/>
  <c r="R218" i="4"/>
  <c r="T218" i="4"/>
  <c r="Y218" i="4"/>
  <c r="O214" i="4"/>
  <c r="Q214" i="4" s="1"/>
  <c r="M214" i="4"/>
  <c r="U214" i="4"/>
  <c r="P214" i="4"/>
  <c r="L214" i="4"/>
  <c r="N214" i="4"/>
  <c r="O206" i="4"/>
  <c r="Q206" i="4" s="1"/>
  <c r="M206" i="4"/>
  <c r="U206" i="4"/>
  <c r="P206" i="4"/>
  <c r="L206" i="4"/>
  <c r="N206" i="4"/>
  <c r="O202" i="4"/>
  <c r="Q202" i="4" s="1"/>
  <c r="M202" i="4"/>
  <c r="U202" i="4"/>
  <c r="P202" i="4"/>
  <c r="L202" i="4"/>
  <c r="N202" i="4"/>
  <c r="O200" i="4"/>
  <c r="Q200" i="4" s="1"/>
  <c r="M200" i="4"/>
  <c r="U200" i="4"/>
  <c r="P200" i="4"/>
  <c r="L200" i="4"/>
  <c r="N200" i="4"/>
  <c r="O199" i="4"/>
  <c r="Q199" i="4" s="1"/>
  <c r="M199" i="4"/>
  <c r="N199" i="4"/>
  <c r="P199" i="4"/>
  <c r="U199" i="4"/>
  <c r="L199" i="4"/>
  <c r="U198" i="4"/>
  <c r="P198" i="4"/>
  <c r="N198" i="4"/>
  <c r="L198" i="4"/>
  <c r="O198" i="4"/>
  <c r="M198" i="4"/>
  <c r="Q198" i="4"/>
  <c r="U197" i="4"/>
  <c r="P197" i="4"/>
  <c r="N197" i="4"/>
  <c r="L197" i="4"/>
  <c r="M197" i="4"/>
  <c r="O197" i="4"/>
  <c r="Q197" i="4" s="1"/>
  <c r="U196" i="4"/>
  <c r="P196" i="4"/>
  <c r="N196" i="4"/>
  <c r="L196" i="4"/>
  <c r="O196" i="4"/>
  <c r="Q196" i="4" s="1"/>
  <c r="M196" i="4"/>
  <c r="U195" i="4"/>
  <c r="R195" i="4"/>
  <c r="P195" i="4"/>
  <c r="N195" i="4"/>
  <c r="L195" i="4"/>
  <c r="Q195" i="4"/>
  <c r="M195" i="4"/>
  <c r="O195" i="4"/>
  <c r="S195" i="4"/>
  <c r="Y195" i="4"/>
  <c r="T195" i="4"/>
  <c r="U194" i="4"/>
  <c r="P194" i="4"/>
  <c r="N194" i="4"/>
  <c r="L194" i="4"/>
  <c r="O194" i="4"/>
  <c r="M194" i="4"/>
  <c r="Q194" i="4"/>
  <c r="U193" i="4"/>
  <c r="P193" i="4"/>
  <c r="N193" i="4"/>
  <c r="L193" i="4"/>
  <c r="M193" i="4"/>
  <c r="O193" i="4"/>
  <c r="Q193" i="4" s="1"/>
  <c r="U192" i="4"/>
  <c r="P192" i="4"/>
  <c r="N192" i="4"/>
  <c r="L192" i="4"/>
  <c r="O192" i="4"/>
  <c r="Q192" i="4"/>
  <c r="M192" i="4"/>
  <c r="U191" i="4"/>
  <c r="P191" i="4"/>
  <c r="N191" i="4"/>
  <c r="L191" i="4"/>
  <c r="M191" i="4"/>
  <c r="O191" i="4"/>
  <c r="Q191" i="4" s="1"/>
  <c r="U190" i="4"/>
  <c r="P190" i="4"/>
  <c r="N190" i="4"/>
  <c r="L190" i="4"/>
  <c r="O190" i="4"/>
  <c r="M190" i="4"/>
  <c r="Q190" i="4"/>
  <c r="U189" i="4"/>
  <c r="P189" i="4"/>
  <c r="N189" i="4"/>
  <c r="L189" i="4"/>
  <c r="M189" i="4"/>
  <c r="O189" i="4"/>
  <c r="Q189" i="4" s="1"/>
  <c r="U188" i="4"/>
  <c r="P188" i="4"/>
  <c r="N188" i="4"/>
  <c r="L188" i="4"/>
  <c r="O188" i="4"/>
  <c r="Q188" i="4" s="1"/>
  <c r="M188" i="4"/>
  <c r="U187" i="4"/>
  <c r="R187" i="4"/>
  <c r="P187" i="4"/>
  <c r="N187" i="4"/>
  <c r="L187" i="4"/>
  <c r="Q187" i="4"/>
  <c r="M187" i="4"/>
  <c r="O187" i="4"/>
  <c r="S187" i="4"/>
  <c r="T187" i="4"/>
  <c r="Y187" i="4"/>
  <c r="U186" i="4"/>
  <c r="P186" i="4"/>
  <c r="N186" i="4"/>
  <c r="L186" i="4"/>
  <c r="O186" i="4"/>
  <c r="M186" i="4"/>
  <c r="Q186" i="4"/>
  <c r="U185" i="4"/>
  <c r="P185" i="4"/>
  <c r="N185" i="4"/>
  <c r="L185" i="4"/>
  <c r="M185" i="4"/>
  <c r="O185" i="4"/>
  <c r="Q185" i="4" s="1"/>
  <c r="U184" i="4"/>
  <c r="P184" i="4"/>
  <c r="N184" i="4"/>
  <c r="L184" i="4"/>
  <c r="O184" i="4"/>
  <c r="Q184" i="4" s="1"/>
  <c r="M184" i="4"/>
  <c r="U183" i="4"/>
  <c r="P183" i="4"/>
  <c r="N183" i="4"/>
  <c r="L183" i="4"/>
  <c r="M183" i="4"/>
  <c r="O183" i="4"/>
  <c r="Q183" i="4" s="1"/>
  <c r="U182" i="4"/>
  <c r="P182" i="4"/>
  <c r="N182" i="4"/>
  <c r="L182" i="4"/>
  <c r="O182" i="4"/>
  <c r="M182" i="4"/>
  <c r="Q182" i="4"/>
  <c r="U181" i="4"/>
  <c r="P181" i="4"/>
  <c r="N181" i="4"/>
  <c r="L181" i="4"/>
  <c r="M181" i="4"/>
  <c r="O181" i="4"/>
  <c r="Q181" i="4" s="1"/>
  <c r="U180" i="4"/>
  <c r="P180" i="4"/>
  <c r="N180" i="4"/>
  <c r="L180" i="4"/>
  <c r="O180" i="4"/>
  <c r="Q180" i="4" s="1"/>
  <c r="M180" i="4"/>
  <c r="U179" i="4"/>
  <c r="P179" i="4"/>
  <c r="N179" i="4"/>
  <c r="L179" i="4"/>
  <c r="M179" i="4"/>
  <c r="O179" i="4"/>
  <c r="Q179" i="4" s="1"/>
  <c r="U178" i="4"/>
  <c r="P178" i="4"/>
  <c r="N178" i="4"/>
  <c r="L178" i="4"/>
  <c r="O178" i="4"/>
  <c r="M178" i="4"/>
  <c r="Q178" i="4"/>
  <c r="U177" i="4"/>
  <c r="P177" i="4"/>
  <c r="N177" i="4"/>
  <c r="L177" i="4"/>
  <c r="M177" i="4"/>
  <c r="O177" i="4"/>
  <c r="Q177" i="4" s="1"/>
  <c r="U176" i="4"/>
  <c r="R176" i="4"/>
  <c r="P176" i="4"/>
  <c r="N176" i="4"/>
  <c r="L176" i="4"/>
  <c r="S176" i="4"/>
  <c r="O176" i="4"/>
  <c r="Q176" i="4"/>
  <c r="M176" i="4"/>
  <c r="Y176" i="4"/>
  <c r="T176" i="4"/>
  <c r="U175" i="4"/>
  <c r="P175" i="4"/>
  <c r="N175" i="4"/>
  <c r="L175" i="4"/>
  <c r="M175" i="4"/>
  <c r="O175" i="4"/>
  <c r="Q175" i="4" s="1"/>
  <c r="U174" i="4"/>
  <c r="P174" i="4"/>
  <c r="N174" i="4"/>
  <c r="L174" i="4"/>
  <c r="O174" i="4"/>
  <c r="M174" i="4"/>
  <c r="Q174" i="4"/>
  <c r="U173" i="4"/>
  <c r="P173" i="4"/>
  <c r="N173" i="4"/>
  <c r="L173" i="4"/>
  <c r="M173" i="4"/>
  <c r="O173" i="4"/>
  <c r="Q173" i="4" s="1"/>
  <c r="U172" i="4"/>
  <c r="P172" i="4"/>
  <c r="N172" i="4"/>
  <c r="L172" i="4"/>
  <c r="O172" i="4"/>
  <c r="Q172" i="4" s="1"/>
  <c r="M172" i="4"/>
  <c r="U171" i="4"/>
  <c r="P171" i="4"/>
  <c r="N171" i="4"/>
  <c r="L171" i="4"/>
  <c r="M171" i="4"/>
  <c r="O171" i="4"/>
  <c r="Q171" i="4" s="1"/>
  <c r="U170" i="4"/>
  <c r="P170" i="4"/>
  <c r="N170" i="4"/>
  <c r="L170" i="4"/>
  <c r="O170" i="4"/>
  <c r="M170" i="4"/>
  <c r="Q170" i="4"/>
  <c r="U169" i="4"/>
  <c r="P169" i="4"/>
  <c r="N169" i="4"/>
  <c r="L169" i="4"/>
  <c r="M169" i="4"/>
  <c r="O169" i="4"/>
  <c r="Q169" i="4" s="1"/>
  <c r="U168" i="4"/>
  <c r="P168" i="4"/>
  <c r="N168" i="4"/>
  <c r="L168" i="4"/>
  <c r="O168" i="4"/>
  <c r="Q168" i="4"/>
  <c r="M168" i="4"/>
  <c r="U167" i="4"/>
  <c r="P167" i="4"/>
  <c r="N167" i="4"/>
  <c r="L167" i="4"/>
  <c r="M167" i="4"/>
  <c r="O167" i="4"/>
  <c r="Q167" i="4" s="1"/>
  <c r="U166" i="4"/>
  <c r="P166" i="4"/>
  <c r="N166" i="4"/>
  <c r="L166" i="4"/>
  <c r="O166" i="4"/>
  <c r="M166" i="4"/>
  <c r="Q166" i="4"/>
  <c r="U165" i="4"/>
  <c r="R165" i="4"/>
  <c r="P165" i="4"/>
  <c r="N165" i="4"/>
  <c r="L165" i="4"/>
  <c r="Q165" i="4"/>
  <c r="M165" i="4"/>
  <c r="S165" i="4"/>
  <c r="O165" i="4"/>
  <c r="Y165" i="4"/>
  <c r="T165" i="4"/>
  <c r="U164" i="4"/>
  <c r="P164" i="4"/>
  <c r="N164" i="4"/>
  <c r="L164" i="4"/>
  <c r="O164" i="4"/>
  <c r="Q164" i="4" s="1"/>
  <c r="M164" i="4"/>
  <c r="U163" i="4"/>
  <c r="P163" i="4"/>
  <c r="N163" i="4"/>
  <c r="L163" i="4"/>
  <c r="M163" i="4"/>
  <c r="O163" i="4"/>
  <c r="Q163" i="4" s="1"/>
  <c r="U162" i="4"/>
  <c r="P162" i="4"/>
  <c r="N162" i="4"/>
  <c r="L162" i="4"/>
  <c r="O162" i="4"/>
  <c r="M162" i="4"/>
  <c r="Q162" i="4"/>
  <c r="U161" i="4"/>
  <c r="R161" i="4"/>
  <c r="P161" i="4"/>
  <c r="N161" i="4"/>
  <c r="L161" i="4"/>
  <c r="Q161" i="4"/>
  <c r="M161" i="4"/>
  <c r="S161" i="4"/>
  <c r="O161" i="4"/>
  <c r="Y161" i="4"/>
  <c r="T161" i="4"/>
  <c r="U160" i="4"/>
  <c r="P160" i="4"/>
  <c r="N160" i="4"/>
  <c r="L160" i="4"/>
  <c r="O160" i="4"/>
  <c r="Q160" i="4" s="1"/>
  <c r="M160" i="4"/>
  <c r="U159" i="4"/>
  <c r="R159" i="4"/>
  <c r="P159" i="4"/>
  <c r="N159" i="4"/>
  <c r="L159" i="4"/>
  <c r="Q159" i="4"/>
  <c r="M159" i="4"/>
  <c r="O159" i="4"/>
  <c r="S159" i="4"/>
  <c r="Y159" i="4"/>
  <c r="T159" i="4"/>
  <c r="U158" i="4"/>
  <c r="P158" i="4"/>
  <c r="N158" i="4"/>
  <c r="L158" i="4"/>
  <c r="O158" i="4"/>
  <c r="M158" i="4"/>
  <c r="Q158" i="4"/>
  <c r="U157" i="4"/>
  <c r="P157" i="4"/>
  <c r="N157" i="4"/>
  <c r="L157" i="4"/>
  <c r="M157" i="4"/>
  <c r="O157" i="4"/>
  <c r="Q157" i="4" s="1"/>
  <c r="U156" i="4"/>
  <c r="P156" i="4"/>
  <c r="N156" i="4"/>
  <c r="L156" i="4"/>
  <c r="O156" i="4"/>
  <c r="Q156" i="4" s="1"/>
  <c r="M156" i="4"/>
  <c r="U155" i="4"/>
  <c r="P155" i="4"/>
  <c r="N155" i="4"/>
  <c r="L155" i="4"/>
  <c r="M155" i="4"/>
  <c r="O155" i="4"/>
  <c r="Q155" i="4" s="1"/>
  <c r="U154" i="4"/>
  <c r="P154" i="4"/>
  <c r="N154" i="4"/>
  <c r="L154" i="4"/>
  <c r="O154" i="4"/>
  <c r="M154" i="4"/>
  <c r="Q154" i="4"/>
  <c r="U153" i="4"/>
  <c r="P153" i="4"/>
  <c r="N153" i="4"/>
  <c r="L153" i="4"/>
  <c r="M153" i="4"/>
  <c r="O153" i="4"/>
  <c r="Q153" i="4" s="1"/>
  <c r="U152" i="4"/>
  <c r="P152" i="4"/>
  <c r="N152" i="4"/>
  <c r="L152" i="4"/>
  <c r="O152" i="4"/>
  <c r="Q152" i="4" s="1"/>
  <c r="M152" i="4"/>
  <c r="U151" i="4"/>
  <c r="P151" i="4"/>
  <c r="N151" i="4"/>
  <c r="L151" i="4"/>
  <c r="M151" i="4"/>
  <c r="O151" i="4"/>
  <c r="Q151" i="4" s="1"/>
  <c r="U150" i="4"/>
  <c r="P150" i="4"/>
  <c r="N150" i="4"/>
  <c r="L150" i="4"/>
  <c r="O150" i="4"/>
  <c r="M150" i="4"/>
  <c r="Q150" i="4"/>
  <c r="U149" i="4"/>
  <c r="P149" i="4"/>
  <c r="N149" i="4"/>
  <c r="L149" i="4"/>
  <c r="M149" i="4"/>
  <c r="O149" i="4"/>
  <c r="Q149" i="4" s="1"/>
  <c r="U148" i="4"/>
  <c r="R148" i="4"/>
  <c r="P148" i="4"/>
  <c r="N148" i="4"/>
  <c r="L148" i="4"/>
  <c r="S148" i="4"/>
  <c r="O148" i="4"/>
  <c r="Q148" i="4"/>
  <c r="M148" i="4"/>
  <c r="Y148" i="4"/>
  <c r="T148" i="4"/>
  <c r="U147" i="4"/>
  <c r="P147" i="4"/>
  <c r="N147" i="4"/>
  <c r="L147" i="4"/>
  <c r="M147" i="4"/>
  <c r="O147" i="4"/>
  <c r="Q147" i="4" s="1"/>
  <c r="U146" i="4"/>
  <c r="R146" i="4"/>
  <c r="P146" i="4"/>
  <c r="N146" i="4"/>
  <c r="L146" i="4"/>
  <c r="S146" i="4"/>
  <c r="O146" i="4"/>
  <c r="M146" i="4"/>
  <c r="Q146" i="4"/>
  <c r="Y146" i="4"/>
  <c r="T146" i="4"/>
  <c r="U145" i="4"/>
  <c r="P145" i="4"/>
  <c r="N145" i="4"/>
  <c r="L145" i="4"/>
  <c r="M145" i="4"/>
  <c r="O145" i="4"/>
  <c r="Q145" i="4" s="1"/>
  <c r="U144" i="4"/>
  <c r="P144" i="4"/>
  <c r="N144" i="4"/>
  <c r="L144" i="4"/>
  <c r="O144" i="4"/>
  <c r="Q144" i="4" s="1"/>
  <c r="M144" i="4"/>
  <c r="U143" i="4"/>
  <c r="P143" i="4"/>
  <c r="N143" i="4"/>
  <c r="L143" i="4"/>
  <c r="M143" i="4"/>
  <c r="O143" i="4"/>
  <c r="Q143" i="4" s="1"/>
  <c r="U142" i="4"/>
  <c r="P142" i="4"/>
  <c r="N142" i="4"/>
  <c r="L142" i="4"/>
  <c r="O142" i="4"/>
  <c r="M142" i="4"/>
  <c r="Q142" i="4"/>
  <c r="U141" i="4"/>
  <c r="R141" i="4"/>
  <c r="P141" i="4"/>
  <c r="N141" i="4"/>
  <c r="L141" i="4"/>
  <c r="Q141" i="4"/>
  <c r="M141" i="4"/>
  <c r="S141" i="4"/>
  <c r="O141" i="4"/>
  <c r="T141" i="4"/>
  <c r="Y141" i="4"/>
  <c r="U140" i="4"/>
  <c r="P140" i="4"/>
  <c r="N140" i="4"/>
  <c r="L140" i="4"/>
  <c r="O140" i="4"/>
  <c r="Q140" i="4"/>
  <c r="M140" i="4"/>
  <c r="U139" i="4"/>
  <c r="R139" i="4"/>
  <c r="P139" i="4"/>
  <c r="N139" i="4"/>
  <c r="L139" i="4"/>
  <c r="Q139" i="4"/>
  <c r="M139" i="4"/>
  <c r="O139" i="4"/>
  <c r="S139" i="4"/>
  <c r="T139" i="4"/>
  <c r="Y139" i="4"/>
  <c r="U138" i="4"/>
  <c r="P138" i="4"/>
  <c r="N138" i="4"/>
  <c r="L138" i="4"/>
  <c r="O138" i="4"/>
  <c r="M138" i="4"/>
  <c r="Q138" i="4"/>
  <c r="U137" i="4"/>
  <c r="P137" i="4"/>
  <c r="N137" i="4"/>
  <c r="L137" i="4"/>
  <c r="M137" i="4"/>
  <c r="O137" i="4"/>
  <c r="Q137" i="4" s="1"/>
  <c r="U136" i="4"/>
  <c r="P136" i="4"/>
  <c r="N136" i="4"/>
  <c r="L136" i="4"/>
  <c r="O136" i="4"/>
  <c r="Q136" i="4" s="1"/>
  <c r="M136" i="4"/>
  <c r="U135" i="4"/>
  <c r="P135" i="4"/>
  <c r="N135" i="4"/>
  <c r="L135" i="4"/>
  <c r="M135" i="4"/>
  <c r="O135" i="4"/>
  <c r="Q135" i="4" s="1"/>
  <c r="U134" i="4"/>
  <c r="P134" i="4"/>
  <c r="N134" i="4"/>
  <c r="L134" i="4"/>
  <c r="O134" i="4"/>
  <c r="M134" i="4"/>
  <c r="Q134" i="4"/>
  <c r="U133" i="4"/>
  <c r="P133" i="4"/>
  <c r="N133" i="4"/>
  <c r="L133" i="4"/>
  <c r="M133" i="4"/>
  <c r="O133" i="4"/>
  <c r="Q133" i="4" s="1"/>
  <c r="U132" i="4"/>
  <c r="P132" i="4"/>
  <c r="N132" i="4"/>
  <c r="L132" i="4"/>
  <c r="O132" i="4"/>
  <c r="Q132" i="4" s="1"/>
  <c r="M132" i="4"/>
  <c r="U131" i="4"/>
  <c r="P131" i="4"/>
  <c r="N131" i="4"/>
  <c r="L131" i="4"/>
  <c r="M131" i="4"/>
  <c r="O131" i="4"/>
  <c r="Q131" i="4" s="1"/>
  <c r="U130" i="4"/>
  <c r="P130" i="4"/>
  <c r="N130" i="4"/>
  <c r="L130" i="4"/>
  <c r="O130" i="4"/>
  <c r="M130" i="4"/>
  <c r="Q130" i="4"/>
  <c r="U129" i="4"/>
  <c r="P129" i="4"/>
  <c r="N129" i="4"/>
  <c r="L129" i="4"/>
  <c r="M129" i="4"/>
  <c r="O129" i="4"/>
  <c r="Q129" i="4" s="1"/>
  <c r="U128" i="4"/>
  <c r="P128" i="4"/>
  <c r="N128" i="4"/>
  <c r="L128" i="4"/>
  <c r="O128" i="4"/>
  <c r="Q128" i="4" s="1"/>
  <c r="M128" i="4"/>
  <c r="U127" i="4"/>
  <c r="R127" i="4"/>
  <c r="P127" i="4"/>
  <c r="N127" i="4"/>
  <c r="L127" i="4"/>
  <c r="Q127" i="4"/>
  <c r="M127" i="4"/>
  <c r="O127" i="4"/>
  <c r="S127" i="4"/>
  <c r="Y127" i="4"/>
  <c r="T127" i="4"/>
  <c r="U126" i="4"/>
  <c r="P126" i="4"/>
  <c r="N126" i="4"/>
  <c r="L126" i="4"/>
  <c r="O126" i="4"/>
  <c r="M126" i="4"/>
  <c r="Q126" i="4"/>
  <c r="U125" i="4"/>
  <c r="P125" i="4"/>
  <c r="N125" i="4"/>
  <c r="L125" i="4"/>
  <c r="M125" i="4"/>
  <c r="O125" i="4"/>
  <c r="Q125" i="4" s="1"/>
  <c r="U124" i="4"/>
  <c r="R124" i="4"/>
  <c r="P124" i="4"/>
  <c r="N124" i="4"/>
  <c r="L124" i="4"/>
  <c r="S124" i="4"/>
  <c r="O124" i="4"/>
  <c r="Q124" i="4"/>
  <c r="M124" i="4"/>
  <c r="Y124" i="4"/>
  <c r="T124" i="4"/>
  <c r="U123" i="4"/>
  <c r="P123" i="4"/>
  <c r="N123" i="4"/>
  <c r="L123" i="4"/>
  <c r="M123" i="4"/>
  <c r="O123" i="4"/>
  <c r="Q123" i="4" s="1"/>
  <c r="U122" i="4"/>
  <c r="R122" i="4"/>
  <c r="P122" i="4"/>
  <c r="N122" i="4"/>
  <c r="L122" i="4"/>
  <c r="S122" i="4"/>
  <c r="O122" i="4"/>
  <c r="M122" i="4"/>
  <c r="Q122" i="4"/>
  <c r="T122" i="4"/>
  <c r="Y122" i="4"/>
  <c r="O223" i="4"/>
  <c r="Q223" i="4" s="1"/>
  <c r="M223" i="4"/>
  <c r="N223" i="4"/>
  <c r="P223" i="4"/>
  <c r="U223" i="4"/>
  <c r="L223" i="4"/>
  <c r="Q219" i="4"/>
  <c r="O219" i="4"/>
  <c r="M219" i="4"/>
  <c r="N219" i="4"/>
  <c r="P219" i="4"/>
  <c r="L219" i="4"/>
  <c r="U219" i="4"/>
  <c r="S201" i="4"/>
  <c r="Q201" i="4"/>
  <c r="O201" i="4"/>
  <c r="M201" i="4"/>
  <c r="R201" i="4"/>
  <c r="N201" i="4"/>
  <c r="U201" i="4"/>
  <c r="L201" i="4"/>
  <c r="P201" i="4"/>
  <c r="Y201" i="4"/>
  <c r="T201" i="4"/>
  <c r="O118" i="4"/>
  <c r="Q118" i="4" s="1"/>
  <c r="M118" i="4"/>
  <c r="U118" i="4"/>
  <c r="P118" i="4"/>
  <c r="L118" i="4"/>
  <c r="N118" i="4"/>
  <c r="S116" i="4"/>
  <c r="Q116" i="4"/>
  <c r="O116" i="4"/>
  <c r="M116" i="4"/>
  <c r="U116" i="4"/>
  <c r="P116" i="4"/>
  <c r="L116" i="4"/>
  <c r="N116" i="4"/>
  <c r="R116" i="4"/>
  <c r="Y116" i="4"/>
  <c r="T116" i="4"/>
  <c r="S114" i="4"/>
  <c r="Q114" i="4"/>
  <c r="O114" i="4"/>
  <c r="M114" i="4"/>
  <c r="U114" i="4"/>
  <c r="P114" i="4"/>
  <c r="L114" i="4"/>
  <c r="R114" i="4"/>
  <c r="N114" i="4"/>
  <c r="T114" i="4"/>
  <c r="Y114" i="4"/>
  <c r="O110" i="4"/>
  <c r="Q110" i="4" s="1"/>
  <c r="M110" i="4"/>
  <c r="U110" i="4"/>
  <c r="P110" i="4"/>
  <c r="L110" i="4"/>
  <c r="N110" i="4"/>
  <c r="S108" i="4"/>
  <c r="Q108" i="4"/>
  <c r="O108" i="4"/>
  <c r="M108" i="4"/>
  <c r="U108" i="4"/>
  <c r="P108" i="4"/>
  <c r="L108" i="4"/>
  <c r="N108" i="4"/>
  <c r="R108" i="4"/>
  <c r="Y108" i="4"/>
  <c r="T108" i="4"/>
  <c r="O98" i="4"/>
  <c r="Q98" i="4" s="1"/>
  <c r="M98" i="4"/>
  <c r="U98" i="4"/>
  <c r="P98" i="4"/>
  <c r="L98" i="4"/>
  <c r="N98" i="4"/>
  <c r="Q96" i="4"/>
  <c r="O96" i="4"/>
  <c r="M96" i="4"/>
  <c r="U96" i="4"/>
  <c r="P96" i="4"/>
  <c r="L96" i="4"/>
  <c r="N96" i="4"/>
  <c r="S94" i="4"/>
  <c r="Q94" i="4"/>
  <c r="O94" i="4"/>
  <c r="M94" i="4"/>
  <c r="U94" i="4"/>
  <c r="P94" i="4"/>
  <c r="L94" i="4"/>
  <c r="R94" i="4"/>
  <c r="N94" i="4"/>
  <c r="T94" i="4"/>
  <c r="Y94" i="4"/>
  <c r="O84" i="4"/>
  <c r="Q84" i="4" s="1"/>
  <c r="M84" i="4"/>
  <c r="U84" i="4"/>
  <c r="P84" i="4"/>
  <c r="L84" i="4"/>
  <c r="N84" i="4"/>
  <c r="O82" i="4"/>
  <c r="Q82" i="4" s="1"/>
  <c r="M82" i="4"/>
  <c r="U82" i="4"/>
  <c r="P82" i="4"/>
  <c r="L82" i="4"/>
  <c r="N82" i="4"/>
  <c r="O74" i="4"/>
  <c r="Q74" i="4" s="1"/>
  <c r="M74" i="4"/>
  <c r="U74" i="4"/>
  <c r="P74" i="4"/>
  <c r="L74" i="4"/>
  <c r="N74" i="4"/>
  <c r="S72" i="4"/>
  <c r="Q72" i="4"/>
  <c r="O72" i="4"/>
  <c r="M72" i="4"/>
  <c r="U72" i="4"/>
  <c r="P72" i="4"/>
  <c r="L72" i="4"/>
  <c r="R72" i="4"/>
  <c r="N72" i="4"/>
  <c r="Y72" i="4"/>
  <c r="T72" i="4"/>
  <c r="S70" i="4"/>
  <c r="Q70" i="4"/>
  <c r="O70" i="4"/>
  <c r="M70" i="4"/>
  <c r="U70" i="4"/>
  <c r="P70" i="4"/>
  <c r="L70" i="4"/>
  <c r="N70" i="4"/>
  <c r="R70" i="4"/>
  <c r="T70" i="4"/>
  <c r="Y70" i="4"/>
  <c r="O64" i="4"/>
  <c r="Q64" i="4" s="1"/>
  <c r="M64" i="4"/>
  <c r="U64" i="4"/>
  <c r="P64" i="4"/>
  <c r="L64" i="4"/>
  <c r="N64" i="4"/>
  <c r="O56" i="4"/>
  <c r="Q56" i="4" s="1"/>
  <c r="M56" i="4"/>
  <c r="U56" i="4"/>
  <c r="P56" i="4"/>
  <c r="L56" i="4"/>
  <c r="N56" i="4"/>
  <c r="O48" i="4"/>
  <c r="Q48" i="4" s="1"/>
  <c r="M48" i="4"/>
  <c r="U48" i="4"/>
  <c r="P48" i="4"/>
  <c r="L48" i="4"/>
  <c r="N48" i="4"/>
  <c r="O42" i="4"/>
  <c r="Q42" i="4" s="1"/>
  <c r="M42" i="4"/>
  <c r="U42" i="4"/>
  <c r="P42" i="4"/>
  <c r="L42" i="4"/>
  <c r="N42" i="4"/>
  <c r="S40" i="4"/>
  <c r="Q40" i="4"/>
  <c r="O40" i="4"/>
  <c r="M40" i="4"/>
  <c r="U40" i="4"/>
  <c r="P40" i="4"/>
  <c r="L40" i="4"/>
  <c r="N40" i="4"/>
  <c r="R40" i="4"/>
  <c r="T40" i="4"/>
  <c r="Y40" i="4"/>
  <c r="O32" i="4"/>
  <c r="Q32" i="4" s="1"/>
  <c r="M32" i="4"/>
  <c r="U32" i="4"/>
  <c r="P32" i="4"/>
  <c r="L32" i="4"/>
  <c r="N32" i="4"/>
  <c r="S30" i="4"/>
  <c r="Q30" i="4"/>
  <c r="O30" i="4"/>
  <c r="M30" i="4"/>
  <c r="U30" i="4"/>
  <c r="P30" i="4"/>
  <c r="L30" i="4"/>
  <c r="R30" i="4"/>
  <c r="N30" i="4"/>
  <c r="T30" i="4"/>
  <c r="Y30" i="4"/>
  <c r="O24" i="4"/>
  <c r="Q24" i="4" s="1"/>
  <c r="M24" i="4"/>
  <c r="U24" i="4"/>
  <c r="P24" i="4"/>
  <c r="L24" i="4"/>
  <c r="N24" i="4"/>
  <c r="S22" i="4"/>
  <c r="Q22" i="4"/>
  <c r="O22" i="4"/>
  <c r="M22" i="4"/>
  <c r="U22" i="4"/>
  <c r="P22" i="4"/>
  <c r="L22" i="4"/>
  <c r="R22" i="4"/>
  <c r="N22" i="4"/>
  <c r="Y22" i="4"/>
  <c r="T22" i="4"/>
  <c r="Q18" i="4"/>
  <c r="O18" i="4"/>
  <c r="M18" i="4"/>
  <c r="U18" i="4"/>
  <c r="P18" i="4"/>
  <c r="L18" i="4"/>
  <c r="N18" i="4"/>
  <c r="O14" i="4"/>
  <c r="Q14" i="4" s="1"/>
  <c r="M14" i="4"/>
  <c r="U14" i="4"/>
  <c r="P14" i="4"/>
  <c r="L14" i="4"/>
  <c r="N14" i="4"/>
  <c r="S12" i="4"/>
  <c r="Q12" i="4"/>
  <c r="O12" i="4"/>
  <c r="M12" i="4"/>
  <c r="U12" i="4"/>
  <c r="P12" i="4"/>
  <c r="L12" i="4"/>
  <c r="N12" i="4"/>
  <c r="R12" i="4"/>
  <c r="T12" i="4"/>
  <c r="Y12" i="4"/>
  <c r="O10" i="4"/>
  <c r="Q10" i="4" s="1"/>
  <c r="M10" i="4"/>
  <c r="U10" i="4"/>
  <c r="P10" i="4"/>
  <c r="L10" i="4"/>
  <c r="N10" i="4"/>
  <c r="S8" i="4"/>
  <c r="Q8" i="4"/>
  <c r="O8" i="4"/>
  <c r="M8" i="4"/>
  <c r="U8" i="4"/>
  <c r="P8" i="4"/>
  <c r="L8" i="4"/>
  <c r="N8" i="4"/>
  <c r="R8" i="4"/>
  <c r="T8" i="4"/>
  <c r="Y8" i="4"/>
  <c r="Q6" i="4"/>
  <c r="O6" i="4"/>
  <c r="M6" i="4"/>
  <c r="U6" i="4"/>
  <c r="P6" i="4"/>
  <c r="L6" i="4"/>
  <c r="N6" i="4"/>
  <c r="S4" i="4"/>
  <c r="Q4" i="4"/>
  <c r="O4" i="4"/>
  <c r="M4" i="4"/>
  <c r="U4" i="4"/>
  <c r="P4" i="4"/>
  <c r="L4" i="4"/>
  <c r="N4" i="4"/>
  <c r="R4" i="4"/>
  <c r="T4" i="4"/>
  <c r="Y4" i="4"/>
  <c r="S213" i="4"/>
  <c r="Q213" i="4"/>
  <c r="O213" i="4"/>
  <c r="M213" i="4"/>
  <c r="R213" i="4"/>
  <c r="N213" i="4"/>
  <c r="U213" i="4"/>
  <c r="L213" i="4"/>
  <c r="P213" i="4"/>
  <c r="T213" i="4"/>
  <c r="Y213" i="4"/>
  <c r="S205" i="4"/>
  <c r="Q205" i="4"/>
  <c r="O205" i="4"/>
  <c r="M205" i="4"/>
  <c r="R205" i="4"/>
  <c r="N205" i="4"/>
  <c r="U205" i="4"/>
  <c r="L205" i="4"/>
  <c r="P205" i="4"/>
  <c r="Y205" i="4"/>
  <c r="T205" i="4"/>
  <c r="O117" i="4"/>
  <c r="Q117" i="4" s="1"/>
  <c r="M117" i="4"/>
  <c r="N117" i="4"/>
  <c r="P117" i="4"/>
  <c r="U117" i="4"/>
  <c r="L117" i="4"/>
  <c r="O109" i="4"/>
  <c r="Q109" i="4" s="1"/>
  <c r="M109" i="4"/>
  <c r="N109" i="4"/>
  <c r="P109" i="4"/>
  <c r="U109" i="4"/>
  <c r="L109" i="4"/>
  <c r="S97" i="4"/>
  <c r="Q97" i="4"/>
  <c r="O97" i="4"/>
  <c r="M97" i="4"/>
  <c r="R97" i="4"/>
  <c r="N97" i="4"/>
  <c r="P97" i="4"/>
  <c r="U97" i="4"/>
  <c r="L97" i="4"/>
  <c r="Y97" i="4"/>
  <c r="T97" i="4"/>
  <c r="S81" i="4"/>
  <c r="Q81" i="4"/>
  <c r="O81" i="4"/>
  <c r="M81" i="4"/>
  <c r="R81" i="4"/>
  <c r="N81" i="4"/>
  <c r="P81" i="4"/>
  <c r="U81" i="4"/>
  <c r="L81" i="4"/>
  <c r="T81" i="4"/>
  <c r="Y81" i="4"/>
  <c r="O73" i="4"/>
  <c r="Q73" i="4" s="1"/>
  <c r="M73" i="4"/>
  <c r="N73" i="4"/>
  <c r="P73" i="4"/>
  <c r="U73" i="4"/>
  <c r="L73" i="4"/>
  <c r="O115" i="4"/>
  <c r="Q115" i="4" s="1"/>
  <c r="M115" i="4"/>
  <c r="N115" i="4"/>
  <c r="U115" i="4"/>
  <c r="L115" i="4"/>
  <c r="P115" i="4"/>
  <c r="O95" i="4"/>
  <c r="Q95" i="4" s="1"/>
  <c r="M95" i="4"/>
  <c r="N95" i="4"/>
  <c r="U95" i="4"/>
  <c r="L95" i="4"/>
  <c r="P95" i="4"/>
  <c r="S83" i="4"/>
  <c r="Q83" i="4"/>
  <c r="O83" i="4"/>
  <c r="M83" i="4"/>
  <c r="R83" i="4"/>
  <c r="N83" i="4"/>
  <c r="U83" i="4"/>
  <c r="L83" i="4"/>
  <c r="P83" i="4"/>
  <c r="Y83" i="4"/>
  <c r="T83" i="4"/>
  <c r="O71" i="4"/>
  <c r="Q71" i="4" s="1"/>
  <c r="M71" i="4"/>
  <c r="N71" i="4"/>
  <c r="P71" i="4"/>
  <c r="L71" i="4"/>
  <c r="U71" i="4"/>
  <c r="S63" i="4"/>
  <c r="Q63" i="4"/>
  <c r="O63" i="4"/>
  <c r="M63" i="4"/>
  <c r="R63" i="4"/>
  <c r="N63" i="4"/>
  <c r="P63" i="4"/>
  <c r="L63" i="4"/>
  <c r="U63" i="4"/>
  <c r="Y63" i="4"/>
  <c r="T63" i="4"/>
  <c r="S55" i="4"/>
  <c r="Q55" i="4"/>
  <c r="O55" i="4"/>
  <c r="M55" i="4"/>
  <c r="R55" i="4"/>
  <c r="N55" i="4"/>
  <c r="P55" i="4"/>
  <c r="L55" i="4"/>
  <c r="U55" i="4"/>
  <c r="T55" i="4"/>
  <c r="Y55" i="4"/>
  <c r="Q41" i="4"/>
  <c r="O41" i="4"/>
  <c r="M41" i="4"/>
  <c r="N41" i="4"/>
  <c r="P41" i="4"/>
  <c r="U41" i="4"/>
  <c r="L41" i="4"/>
  <c r="S17" i="4"/>
  <c r="Q17" i="4"/>
  <c r="O17" i="4"/>
  <c r="M17" i="4"/>
  <c r="R17" i="4"/>
  <c r="N17" i="4"/>
  <c r="P17" i="4"/>
  <c r="U17" i="4"/>
  <c r="L17" i="4"/>
  <c r="T17" i="4"/>
  <c r="Y17" i="4"/>
  <c r="O13" i="4"/>
  <c r="Q13" i="4" s="1"/>
  <c r="M13" i="4"/>
  <c r="N13" i="4"/>
  <c r="P13" i="4"/>
  <c r="U13" i="4"/>
  <c r="L13" i="4"/>
  <c r="O9" i="4"/>
  <c r="Q9" i="4" s="1"/>
  <c r="M9" i="4"/>
  <c r="N9" i="4"/>
  <c r="P9" i="4"/>
  <c r="U9" i="4"/>
  <c r="L9" i="4"/>
  <c r="O5" i="4"/>
  <c r="Q5" i="4" s="1"/>
  <c r="M5" i="4"/>
  <c r="N5" i="4"/>
  <c r="P5" i="4"/>
  <c r="U5" i="4"/>
  <c r="L5" i="4"/>
  <c r="S47" i="4"/>
  <c r="Q47" i="4"/>
  <c r="O47" i="4"/>
  <c r="M47" i="4"/>
  <c r="R47" i="4"/>
  <c r="N47" i="4"/>
  <c r="P47" i="4"/>
  <c r="L47" i="4"/>
  <c r="U47" i="4"/>
  <c r="Y47" i="4"/>
  <c r="T47" i="4"/>
  <c r="O31" i="4"/>
  <c r="Q31" i="4" s="1"/>
  <c r="M31" i="4"/>
  <c r="N31" i="4"/>
  <c r="U31" i="4"/>
  <c r="L31" i="4"/>
  <c r="P31" i="4"/>
  <c r="Q23" i="4"/>
  <c r="O23" i="4"/>
  <c r="M23" i="4"/>
  <c r="N23" i="4"/>
  <c r="U23" i="4"/>
  <c r="L23" i="4"/>
  <c r="P23" i="4"/>
  <c r="O3" i="4"/>
  <c r="Q3" i="4" s="1"/>
  <c r="M3" i="4"/>
  <c r="N3" i="4"/>
  <c r="U3" i="4"/>
  <c r="L3" i="4"/>
  <c r="P3" i="4"/>
  <c r="S269" i="3"/>
  <c r="Q269" i="3"/>
  <c r="O269" i="3"/>
  <c r="M269" i="3"/>
  <c r="K269" i="3"/>
  <c r="U269" i="3"/>
  <c r="P269" i="3"/>
  <c r="L269" i="3"/>
  <c r="R269" i="3"/>
  <c r="N269" i="3"/>
  <c r="T269" i="3"/>
  <c r="Y269" i="3"/>
  <c r="S267" i="3"/>
  <c r="Q267" i="3"/>
  <c r="O267" i="3"/>
  <c r="M267" i="3"/>
  <c r="K267" i="3"/>
  <c r="R267" i="3"/>
  <c r="N267" i="3"/>
  <c r="P267" i="3"/>
  <c r="U267" i="3"/>
  <c r="L267" i="3"/>
  <c r="Y267" i="3"/>
  <c r="T267" i="3"/>
  <c r="S265" i="3"/>
  <c r="Q265" i="3"/>
  <c r="O265" i="3"/>
  <c r="M265" i="3"/>
  <c r="K265" i="3"/>
  <c r="U265" i="3"/>
  <c r="P265" i="3"/>
  <c r="L265" i="3"/>
  <c r="N265" i="3"/>
  <c r="R265" i="3"/>
  <c r="Y265" i="3"/>
  <c r="T265" i="3"/>
  <c r="S263" i="3"/>
  <c r="Q263" i="3"/>
  <c r="O263" i="3"/>
  <c r="M263" i="3"/>
  <c r="K263" i="3"/>
  <c r="R263" i="3"/>
  <c r="N263" i="3"/>
  <c r="U263" i="3"/>
  <c r="L263" i="3"/>
  <c r="P263" i="3"/>
  <c r="T263" i="3"/>
  <c r="Y263" i="3"/>
  <c r="S261" i="3"/>
  <c r="Q261" i="3"/>
  <c r="O261" i="3"/>
  <c r="M261" i="3"/>
  <c r="K261" i="3"/>
  <c r="U261" i="3"/>
  <c r="P261" i="3"/>
  <c r="L261" i="3"/>
  <c r="R261" i="3"/>
  <c r="N261" i="3"/>
  <c r="T261" i="3"/>
  <c r="Y261" i="3"/>
  <c r="S259" i="3"/>
  <c r="Q259" i="3"/>
  <c r="O259" i="3"/>
  <c r="M259" i="3"/>
  <c r="K259" i="3"/>
  <c r="R259" i="3"/>
  <c r="N259" i="3"/>
  <c r="P259" i="3"/>
  <c r="U259" i="3"/>
  <c r="L259" i="3"/>
  <c r="Y259" i="3"/>
  <c r="T259" i="3"/>
  <c r="S257" i="3"/>
  <c r="Q257" i="3"/>
  <c r="O257" i="3"/>
  <c r="M257" i="3"/>
  <c r="K257" i="3"/>
  <c r="U257" i="3"/>
  <c r="P257" i="3"/>
  <c r="L257" i="3"/>
  <c r="N257" i="3"/>
  <c r="R257" i="3"/>
  <c r="Y257" i="3"/>
  <c r="T257" i="3"/>
  <c r="S255" i="3"/>
  <c r="Q255" i="3"/>
  <c r="O255" i="3"/>
  <c r="M255" i="3"/>
  <c r="K255" i="3"/>
  <c r="R255" i="3"/>
  <c r="N255" i="3"/>
  <c r="U255" i="3"/>
  <c r="L255" i="3"/>
  <c r="P255" i="3"/>
  <c r="T255" i="3"/>
  <c r="Y255" i="3"/>
  <c r="Q249" i="3"/>
  <c r="O249" i="3"/>
  <c r="M249" i="3"/>
  <c r="K249" i="3"/>
  <c r="U249" i="3"/>
  <c r="P249" i="3"/>
  <c r="L249" i="3"/>
  <c r="N249" i="3"/>
  <c r="U268" i="3"/>
  <c r="R268" i="3"/>
  <c r="P268" i="3"/>
  <c r="N268" i="3"/>
  <c r="L268" i="3"/>
  <c r="S268" i="3"/>
  <c r="O268" i="3"/>
  <c r="K268" i="3"/>
  <c r="Q268" i="3"/>
  <c r="M268" i="3"/>
  <c r="T268" i="3"/>
  <c r="Y268" i="3"/>
  <c r="U264" i="3"/>
  <c r="R264" i="3"/>
  <c r="P264" i="3"/>
  <c r="N264" i="3"/>
  <c r="L264" i="3"/>
  <c r="S264" i="3"/>
  <c r="O264" i="3"/>
  <c r="K264" i="3"/>
  <c r="M264" i="3"/>
  <c r="Q264" i="3"/>
  <c r="Y264" i="3"/>
  <c r="T264" i="3"/>
  <c r="U260" i="3"/>
  <c r="R260" i="3"/>
  <c r="P260" i="3"/>
  <c r="N260" i="3"/>
  <c r="L260" i="3"/>
  <c r="S260" i="3"/>
  <c r="O260" i="3"/>
  <c r="K260" i="3"/>
  <c r="Q260" i="3"/>
  <c r="M260" i="3"/>
  <c r="Y260" i="3"/>
  <c r="T260" i="3"/>
  <c r="U256" i="3"/>
  <c r="R256" i="3"/>
  <c r="P256" i="3"/>
  <c r="N256" i="3"/>
  <c r="L256" i="3"/>
  <c r="S256" i="3"/>
  <c r="O256" i="3"/>
  <c r="K256" i="3"/>
  <c r="M256" i="3"/>
  <c r="Q256" i="3"/>
  <c r="T256" i="3"/>
  <c r="Y256" i="3"/>
  <c r="U248" i="3"/>
  <c r="R248" i="3"/>
  <c r="P248" i="3"/>
  <c r="N248" i="3"/>
  <c r="L248" i="3"/>
  <c r="S248" i="3"/>
  <c r="O248" i="3"/>
  <c r="K248" i="3"/>
  <c r="M248" i="3"/>
  <c r="Q248" i="3"/>
  <c r="T248" i="3"/>
  <c r="Y248" i="3"/>
  <c r="Q243" i="3"/>
  <c r="O243" i="3"/>
  <c r="M243" i="3"/>
  <c r="K243" i="3"/>
  <c r="N243" i="3"/>
  <c r="U243" i="3"/>
  <c r="P243" i="3"/>
  <c r="L243" i="3"/>
  <c r="Q235" i="3"/>
  <c r="O235" i="3"/>
  <c r="M235" i="3"/>
  <c r="K235" i="3"/>
  <c r="N235" i="3"/>
  <c r="U235" i="3"/>
  <c r="P235" i="3"/>
  <c r="L235" i="3"/>
  <c r="Q223" i="3"/>
  <c r="O223" i="3"/>
  <c r="M223" i="3"/>
  <c r="K223" i="3"/>
  <c r="N223" i="3"/>
  <c r="U223" i="3"/>
  <c r="P223" i="3"/>
  <c r="L223" i="3"/>
  <c r="Q213" i="3"/>
  <c r="O213" i="3"/>
  <c r="M213" i="3"/>
  <c r="K213" i="3"/>
  <c r="U213" i="3"/>
  <c r="P213" i="3"/>
  <c r="L213" i="3"/>
  <c r="N213" i="3"/>
  <c r="Q207" i="3"/>
  <c r="O207" i="3"/>
  <c r="M207" i="3"/>
  <c r="K207" i="3"/>
  <c r="N207" i="3"/>
  <c r="U207" i="3"/>
  <c r="P207" i="3"/>
  <c r="L207" i="3"/>
  <c r="S205" i="3"/>
  <c r="Q205" i="3"/>
  <c r="O205" i="3"/>
  <c r="M205" i="3"/>
  <c r="K205" i="3"/>
  <c r="U205" i="3"/>
  <c r="P205" i="3"/>
  <c r="L205" i="3"/>
  <c r="R205" i="3"/>
  <c r="N205" i="3"/>
  <c r="Y205" i="3"/>
  <c r="T205" i="3"/>
  <c r="Q201" i="3"/>
  <c r="O201" i="3"/>
  <c r="M201" i="3"/>
  <c r="K201" i="3"/>
  <c r="U201" i="3"/>
  <c r="P201" i="3"/>
  <c r="L201" i="3"/>
  <c r="N201" i="3"/>
  <c r="Q197" i="3"/>
  <c r="O197" i="3"/>
  <c r="M197" i="3"/>
  <c r="K197" i="3"/>
  <c r="U197" i="3"/>
  <c r="P197" i="3"/>
  <c r="L197" i="3"/>
  <c r="N197" i="3"/>
  <c r="S195" i="3"/>
  <c r="Q195" i="3"/>
  <c r="O195" i="3"/>
  <c r="M195" i="3"/>
  <c r="K195" i="3"/>
  <c r="R195" i="3"/>
  <c r="N195" i="3"/>
  <c r="U195" i="3"/>
  <c r="P195" i="3"/>
  <c r="L195" i="3"/>
  <c r="T195" i="3"/>
  <c r="Y195" i="3"/>
  <c r="Q189" i="3"/>
  <c r="O189" i="3"/>
  <c r="M189" i="3"/>
  <c r="K189" i="3"/>
  <c r="U189" i="3"/>
  <c r="P189" i="3"/>
  <c r="L189" i="3"/>
  <c r="N189" i="3"/>
  <c r="S187" i="3"/>
  <c r="Q187" i="3"/>
  <c r="O187" i="3"/>
  <c r="M187" i="3"/>
  <c r="K187" i="3"/>
  <c r="R187" i="3"/>
  <c r="N187" i="3"/>
  <c r="U187" i="3"/>
  <c r="L187" i="3"/>
  <c r="P187" i="3"/>
  <c r="T187" i="3"/>
  <c r="Y187" i="3"/>
  <c r="Q177" i="3"/>
  <c r="O177" i="3"/>
  <c r="M177" i="3"/>
  <c r="K177" i="3"/>
  <c r="U177" i="3"/>
  <c r="P177" i="3"/>
  <c r="L177" i="3"/>
  <c r="N177" i="3"/>
  <c r="S175" i="3"/>
  <c r="Q175" i="3"/>
  <c r="O175" i="3"/>
  <c r="M175" i="3"/>
  <c r="K175" i="3"/>
  <c r="R175" i="3"/>
  <c r="N175" i="3"/>
  <c r="P175" i="3"/>
  <c r="U175" i="3"/>
  <c r="L175" i="3"/>
  <c r="T175" i="3"/>
  <c r="Y175" i="3"/>
  <c r="S173" i="3"/>
  <c r="Q173" i="3"/>
  <c r="O173" i="3"/>
  <c r="M173" i="3"/>
  <c r="K173" i="3"/>
  <c r="U173" i="3"/>
  <c r="P173" i="3"/>
  <c r="L173" i="3"/>
  <c r="N173" i="3"/>
  <c r="R173" i="3"/>
  <c r="T173" i="3"/>
  <c r="Y173" i="3"/>
  <c r="Q171" i="3"/>
  <c r="O171" i="3"/>
  <c r="M171" i="3"/>
  <c r="K171" i="3"/>
  <c r="N171" i="3"/>
  <c r="U171" i="3"/>
  <c r="L171" i="3"/>
  <c r="P171" i="3"/>
  <c r="S169" i="3"/>
  <c r="Q169" i="3"/>
  <c r="O169" i="3"/>
  <c r="M169" i="3"/>
  <c r="K169" i="3"/>
  <c r="U169" i="3"/>
  <c r="P169" i="3"/>
  <c r="L169" i="3"/>
  <c r="R169" i="3"/>
  <c r="N169" i="3"/>
  <c r="Y169" i="3"/>
  <c r="T169" i="3"/>
  <c r="Q159" i="3"/>
  <c r="O159" i="3"/>
  <c r="M159" i="3"/>
  <c r="K159" i="3"/>
  <c r="N159" i="3"/>
  <c r="P159" i="3"/>
  <c r="U159" i="3"/>
  <c r="L159" i="3"/>
  <c r="S157" i="3"/>
  <c r="Q157" i="3"/>
  <c r="O157" i="3"/>
  <c r="M157" i="3"/>
  <c r="K157" i="3"/>
  <c r="U157" i="3"/>
  <c r="P157" i="3"/>
  <c r="L157" i="3"/>
  <c r="N157" i="3"/>
  <c r="R157" i="3"/>
  <c r="Y157" i="3"/>
  <c r="T157" i="3"/>
  <c r="Q147" i="3"/>
  <c r="O147" i="3"/>
  <c r="M147" i="3"/>
  <c r="K147" i="3"/>
  <c r="N147" i="3"/>
  <c r="U147" i="3"/>
  <c r="L147" i="3"/>
  <c r="P147" i="3"/>
  <c r="S145" i="3"/>
  <c r="Q145" i="3"/>
  <c r="O145" i="3"/>
  <c r="M145" i="3"/>
  <c r="K145" i="3"/>
  <c r="U145" i="3"/>
  <c r="P145" i="3"/>
  <c r="L145" i="3"/>
  <c r="R145" i="3"/>
  <c r="N145" i="3"/>
  <c r="Y145" i="3"/>
  <c r="T145" i="3"/>
  <c r="U266" i="3"/>
  <c r="R266" i="3"/>
  <c r="P266" i="3"/>
  <c r="N266" i="3"/>
  <c r="L266" i="3"/>
  <c r="Q266" i="3"/>
  <c r="M266" i="3"/>
  <c r="O266" i="3"/>
  <c r="S266" i="3"/>
  <c r="K266" i="3"/>
  <c r="T266" i="3"/>
  <c r="Y266" i="3"/>
  <c r="U258" i="3"/>
  <c r="R258" i="3"/>
  <c r="P258" i="3"/>
  <c r="N258" i="3"/>
  <c r="L258" i="3"/>
  <c r="Q258" i="3"/>
  <c r="M258" i="3"/>
  <c r="O258" i="3"/>
  <c r="S258" i="3"/>
  <c r="K258" i="3"/>
  <c r="Y258" i="3"/>
  <c r="T258" i="3"/>
  <c r="U212" i="3"/>
  <c r="R212" i="3"/>
  <c r="P212" i="3"/>
  <c r="N212" i="3"/>
  <c r="L212" i="3"/>
  <c r="S212" i="3"/>
  <c r="O212" i="3"/>
  <c r="K212" i="3"/>
  <c r="Q212" i="3"/>
  <c r="M212" i="3"/>
  <c r="Y212" i="3"/>
  <c r="T212" i="3"/>
  <c r="U200" i="3"/>
  <c r="R200" i="3"/>
  <c r="P200" i="3"/>
  <c r="N200" i="3"/>
  <c r="L200" i="3"/>
  <c r="S200" i="3"/>
  <c r="O200" i="3"/>
  <c r="K200" i="3"/>
  <c r="Q200" i="3"/>
  <c r="M200" i="3"/>
  <c r="T200" i="3"/>
  <c r="Y200" i="3"/>
  <c r="U196" i="3"/>
  <c r="P196" i="3"/>
  <c r="N196" i="3"/>
  <c r="L196" i="3"/>
  <c r="O196" i="3"/>
  <c r="K196" i="3"/>
  <c r="Q196" i="3"/>
  <c r="M196" i="3"/>
  <c r="U188" i="3"/>
  <c r="P188" i="3"/>
  <c r="N188" i="3"/>
  <c r="L188" i="3"/>
  <c r="O188" i="3"/>
  <c r="K188" i="3"/>
  <c r="M188" i="3"/>
  <c r="Q188" i="3"/>
  <c r="U176" i="3"/>
  <c r="P176" i="3"/>
  <c r="N176" i="3"/>
  <c r="L176" i="3"/>
  <c r="O176" i="3"/>
  <c r="K176" i="3"/>
  <c r="Q176" i="3"/>
  <c r="M176" i="3"/>
  <c r="U262" i="3"/>
  <c r="R262" i="3"/>
  <c r="P262" i="3"/>
  <c r="N262" i="3"/>
  <c r="L262" i="3"/>
  <c r="Q262" i="3"/>
  <c r="M262" i="3"/>
  <c r="S262" i="3"/>
  <c r="K262" i="3"/>
  <c r="O262" i="3"/>
  <c r="Y262" i="3"/>
  <c r="T262" i="3"/>
  <c r="U242" i="3"/>
  <c r="R242" i="3"/>
  <c r="P242" i="3"/>
  <c r="N242" i="3"/>
  <c r="L242" i="3"/>
  <c r="Q242" i="3"/>
  <c r="M242" i="3"/>
  <c r="S242" i="3"/>
  <c r="O242" i="3"/>
  <c r="K242" i="3"/>
  <c r="T242" i="3"/>
  <c r="Y242" i="3"/>
  <c r="U234" i="3"/>
  <c r="R234" i="3"/>
  <c r="P234" i="3"/>
  <c r="N234" i="3"/>
  <c r="L234" i="3"/>
  <c r="Q234" i="3"/>
  <c r="M234" i="3"/>
  <c r="S234" i="3"/>
  <c r="O234" i="3"/>
  <c r="K234" i="3"/>
  <c r="T234" i="3"/>
  <c r="Y234" i="3"/>
  <c r="U222" i="3"/>
  <c r="R222" i="3"/>
  <c r="P222" i="3"/>
  <c r="N222" i="3"/>
  <c r="L222" i="3"/>
  <c r="Q222" i="3"/>
  <c r="M222" i="3"/>
  <c r="S222" i="3"/>
  <c r="O222" i="3"/>
  <c r="K222" i="3"/>
  <c r="T222" i="3"/>
  <c r="Y222" i="3"/>
  <c r="U206" i="3"/>
  <c r="P206" i="3"/>
  <c r="N206" i="3"/>
  <c r="L206" i="3"/>
  <c r="Q206" i="3"/>
  <c r="M206" i="3"/>
  <c r="O206" i="3"/>
  <c r="K206" i="3"/>
  <c r="U174" i="3"/>
  <c r="P174" i="3"/>
  <c r="N174" i="3"/>
  <c r="L174" i="3"/>
  <c r="Q174" i="3"/>
  <c r="M174" i="3"/>
  <c r="O174" i="3"/>
  <c r="K174" i="3"/>
  <c r="U158" i="3"/>
  <c r="P158" i="3"/>
  <c r="N158" i="3"/>
  <c r="L158" i="3"/>
  <c r="Q158" i="3"/>
  <c r="M158" i="3"/>
  <c r="O158" i="3"/>
  <c r="K158" i="3"/>
  <c r="Q134" i="3"/>
  <c r="O134" i="3"/>
  <c r="M134" i="3"/>
  <c r="K134" i="3"/>
  <c r="U134" i="3"/>
  <c r="P134" i="3"/>
  <c r="N134" i="3"/>
  <c r="L134" i="3"/>
  <c r="Q128" i="3"/>
  <c r="O128" i="3"/>
  <c r="M128" i="3"/>
  <c r="K128" i="3"/>
  <c r="U128" i="3"/>
  <c r="P128" i="3"/>
  <c r="N128" i="3"/>
  <c r="L128" i="3"/>
  <c r="S126" i="3"/>
  <c r="Q126" i="3"/>
  <c r="O126" i="3"/>
  <c r="M126" i="3"/>
  <c r="K126" i="3"/>
  <c r="U126" i="3"/>
  <c r="R126" i="3"/>
  <c r="P126" i="3"/>
  <c r="N126" i="3"/>
  <c r="L126" i="3"/>
  <c r="Y126" i="3"/>
  <c r="T126" i="3"/>
  <c r="U170" i="3"/>
  <c r="P170" i="3"/>
  <c r="N170" i="3"/>
  <c r="L170" i="3"/>
  <c r="Q170" i="3"/>
  <c r="M170" i="3"/>
  <c r="K170" i="3"/>
  <c r="O170" i="3"/>
  <c r="U146" i="3"/>
  <c r="P146" i="3"/>
  <c r="N146" i="3"/>
  <c r="L146" i="3"/>
  <c r="Q146" i="3"/>
  <c r="M146" i="3"/>
  <c r="K146" i="3"/>
  <c r="O146" i="3"/>
  <c r="U133" i="3"/>
  <c r="R133" i="3"/>
  <c r="P133" i="3"/>
  <c r="N133" i="3"/>
  <c r="L133" i="3"/>
  <c r="S133" i="3"/>
  <c r="Q133" i="3"/>
  <c r="O133" i="3"/>
  <c r="M133" i="3"/>
  <c r="K133" i="3"/>
  <c r="Y133" i="3"/>
  <c r="T133" i="3"/>
  <c r="U127" i="3"/>
  <c r="P127" i="3"/>
  <c r="N127" i="3"/>
  <c r="L127" i="3"/>
  <c r="Q127" i="3"/>
  <c r="O127" i="3"/>
  <c r="M127" i="3"/>
  <c r="K127" i="3"/>
  <c r="Q119" i="3"/>
  <c r="O119" i="3"/>
  <c r="M119" i="3"/>
  <c r="K119" i="3"/>
  <c r="U119" i="3"/>
  <c r="P119" i="3"/>
  <c r="L119" i="3"/>
  <c r="N119" i="3"/>
  <c r="Q107" i="3"/>
  <c r="O107" i="3"/>
  <c r="M107" i="3"/>
  <c r="K107" i="3"/>
  <c r="U107" i="3"/>
  <c r="P107" i="3"/>
  <c r="L107" i="3"/>
  <c r="N107" i="3"/>
  <c r="Q103" i="3"/>
  <c r="O103" i="3"/>
  <c r="M103" i="3"/>
  <c r="K103" i="3"/>
  <c r="U103" i="3"/>
  <c r="P103" i="3"/>
  <c r="L103" i="3"/>
  <c r="N103" i="3"/>
  <c r="S101" i="3"/>
  <c r="Q101" i="3"/>
  <c r="O101" i="3"/>
  <c r="M101" i="3"/>
  <c r="K101" i="3"/>
  <c r="R101" i="3"/>
  <c r="N101" i="3"/>
  <c r="U101" i="3"/>
  <c r="P101" i="3"/>
  <c r="L101" i="3"/>
  <c r="Y101" i="3"/>
  <c r="T101" i="3"/>
  <c r="Q99" i="3"/>
  <c r="O99" i="3"/>
  <c r="M99" i="3"/>
  <c r="K99" i="3"/>
  <c r="U99" i="3"/>
  <c r="P99" i="3"/>
  <c r="L99" i="3"/>
  <c r="N99" i="3"/>
  <c r="Q97" i="3"/>
  <c r="O97" i="3"/>
  <c r="M97" i="3"/>
  <c r="K97" i="3"/>
  <c r="N97" i="3"/>
  <c r="U97" i="3"/>
  <c r="P97" i="3"/>
  <c r="L97" i="3"/>
  <c r="Q91" i="3"/>
  <c r="O91" i="3"/>
  <c r="M91" i="3"/>
  <c r="K91" i="3"/>
  <c r="U91" i="3"/>
  <c r="P91" i="3"/>
  <c r="L91" i="3"/>
  <c r="N91" i="3"/>
  <c r="S89" i="3"/>
  <c r="Q89" i="3"/>
  <c r="O89" i="3"/>
  <c r="M89" i="3"/>
  <c r="K89" i="3"/>
  <c r="R89" i="3"/>
  <c r="N89" i="3"/>
  <c r="U89" i="3"/>
  <c r="P89" i="3"/>
  <c r="L89" i="3"/>
  <c r="T89" i="3"/>
  <c r="Y89" i="3"/>
  <c r="Q79" i="3"/>
  <c r="O79" i="3"/>
  <c r="M79" i="3"/>
  <c r="K79" i="3"/>
  <c r="U79" i="3"/>
  <c r="P79" i="3"/>
  <c r="L79" i="3"/>
  <c r="N79" i="3"/>
  <c r="Q69" i="3"/>
  <c r="O69" i="3"/>
  <c r="M69" i="3"/>
  <c r="K69" i="3"/>
  <c r="N69" i="3"/>
  <c r="U69" i="3"/>
  <c r="P69" i="3"/>
  <c r="L69" i="3"/>
  <c r="S67" i="3"/>
  <c r="Q67" i="3"/>
  <c r="O67" i="3"/>
  <c r="M67" i="3"/>
  <c r="K67" i="3"/>
  <c r="U67" i="3"/>
  <c r="P67" i="3"/>
  <c r="L67" i="3"/>
  <c r="R67" i="3"/>
  <c r="N67" i="3"/>
  <c r="Y67" i="3"/>
  <c r="T67" i="3"/>
  <c r="Q63" i="3"/>
  <c r="O63" i="3"/>
  <c r="M63" i="3"/>
  <c r="K63" i="3"/>
  <c r="U63" i="3"/>
  <c r="P63" i="3"/>
  <c r="L63" i="3"/>
  <c r="N63" i="3"/>
  <c r="S61" i="3"/>
  <c r="Q61" i="3"/>
  <c r="O61" i="3"/>
  <c r="M61" i="3"/>
  <c r="K61" i="3"/>
  <c r="R61" i="3"/>
  <c r="N61" i="3"/>
  <c r="U61" i="3"/>
  <c r="P61" i="3"/>
  <c r="L61" i="3"/>
  <c r="T61" i="3"/>
  <c r="Y61" i="3"/>
  <c r="U118" i="3"/>
  <c r="R118" i="3"/>
  <c r="P118" i="3"/>
  <c r="N118" i="3"/>
  <c r="L118" i="3"/>
  <c r="S118" i="3"/>
  <c r="O118" i="3"/>
  <c r="K118" i="3"/>
  <c r="Q118" i="3"/>
  <c r="M118" i="3"/>
  <c r="T118" i="3"/>
  <c r="Y118" i="3"/>
  <c r="U106" i="3"/>
  <c r="R106" i="3"/>
  <c r="P106" i="3"/>
  <c r="N106" i="3"/>
  <c r="L106" i="3"/>
  <c r="S106" i="3"/>
  <c r="O106" i="3"/>
  <c r="K106" i="3"/>
  <c r="Q106" i="3"/>
  <c r="M106" i="3"/>
  <c r="Y106" i="3"/>
  <c r="T106" i="3"/>
  <c r="U102" i="3"/>
  <c r="P102" i="3"/>
  <c r="N102" i="3"/>
  <c r="L102" i="3"/>
  <c r="O102" i="3"/>
  <c r="K102" i="3"/>
  <c r="Q102" i="3"/>
  <c r="M102" i="3"/>
  <c r="U98" i="3"/>
  <c r="R98" i="3"/>
  <c r="P98" i="3"/>
  <c r="N98" i="3"/>
  <c r="L98" i="3"/>
  <c r="S98" i="3"/>
  <c r="O98" i="3"/>
  <c r="K98" i="3"/>
  <c r="Q98" i="3"/>
  <c r="M98" i="3"/>
  <c r="T98" i="3"/>
  <c r="Y98" i="3"/>
  <c r="U90" i="3"/>
  <c r="P90" i="3"/>
  <c r="N90" i="3"/>
  <c r="L90" i="3"/>
  <c r="O90" i="3"/>
  <c r="K90" i="3"/>
  <c r="Q90" i="3"/>
  <c r="M90" i="3"/>
  <c r="U78" i="3"/>
  <c r="R78" i="3"/>
  <c r="P78" i="3"/>
  <c r="N78" i="3"/>
  <c r="L78" i="3"/>
  <c r="S78" i="3"/>
  <c r="O78" i="3"/>
  <c r="K78" i="3"/>
  <c r="Q78" i="3"/>
  <c r="M78" i="3"/>
  <c r="T78" i="3"/>
  <c r="Y78" i="3"/>
  <c r="U62" i="3"/>
  <c r="P62" i="3"/>
  <c r="N62" i="3"/>
  <c r="L62" i="3"/>
  <c r="O62" i="3"/>
  <c r="K62" i="3"/>
  <c r="Q62" i="3"/>
  <c r="M62" i="3"/>
  <c r="Q55" i="3"/>
  <c r="O55" i="3"/>
  <c r="M55" i="3"/>
  <c r="K55" i="3"/>
  <c r="U55" i="3"/>
  <c r="P55" i="3"/>
  <c r="N55" i="3"/>
  <c r="L55" i="3"/>
  <c r="S53" i="3"/>
  <c r="Q53" i="3"/>
  <c r="O53" i="3"/>
  <c r="M53" i="3"/>
  <c r="K53" i="3"/>
  <c r="U53" i="3"/>
  <c r="R53" i="3"/>
  <c r="P53" i="3"/>
  <c r="N53" i="3"/>
  <c r="L53" i="3"/>
  <c r="T53" i="3"/>
  <c r="Y53" i="3"/>
  <c r="Q45" i="3"/>
  <c r="O45" i="3"/>
  <c r="M45" i="3"/>
  <c r="K45" i="3"/>
  <c r="U45" i="3"/>
  <c r="P45" i="3"/>
  <c r="N45" i="3"/>
  <c r="L45" i="3"/>
  <c r="Q41" i="3"/>
  <c r="O41" i="3"/>
  <c r="M41" i="3"/>
  <c r="K41" i="3"/>
  <c r="U41" i="3"/>
  <c r="P41" i="3"/>
  <c r="N41" i="3"/>
  <c r="L41" i="3"/>
  <c r="S39" i="3"/>
  <c r="Q39" i="3"/>
  <c r="O39" i="3"/>
  <c r="M39" i="3"/>
  <c r="K39" i="3"/>
  <c r="U39" i="3"/>
  <c r="R39" i="3"/>
  <c r="P39" i="3"/>
  <c r="N39" i="3"/>
  <c r="L39" i="3"/>
  <c r="Y39" i="3"/>
  <c r="T39" i="3"/>
  <c r="Q37" i="3"/>
  <c r="O37" i="3"/>
  <c r="M37" i="3"/>
  <c r="K37" i="3"/>
  <c r="U37" i="3"/>
  <c r="P37" i="3"/>
  <c r="N37" i="3"/>
  <c r="L37" i="3"/>
  <c r="Q29" i="3"/>
  <c r="O29" i="3"/>
  <c r="M29" i="3"/>
  <c r="K29" i="3"/>
  <c r="U29" i="3"/>
  <c r="P29" i="3"/>
  <c r="N29" i="3"/>
  <c r="L29" i="3"/>
  <c r="Q25" i="3"/>
  <c r="O25" i="3"/>
  <c r="M25" i="3"/>
  <c r="K25" i="3"/>
  <c r="U25" i="3"/>
  <c r="P25" i="3"/>
  <c r="N25" i="3"/>
  <c r="L25" i="3"/>
  <c r="S23" i="3"/>
  <c r="Q23" i="3"/>
  <c r="O23" i="3"/>
  <c r="M23" i="3"/>
  <c r="K23" i="3"/>
  <c r="U23" i="3"/>
  <c r="R23" i="3"/>
  <c r="P23" i="3"/>
  <c r="N23" i="3"/>
  <c r="L23" i="3"/>
  <c r="T23" i="3"/>
  <c r="Y23" i="3"/>
  <c r="Q17" i="3"/>
  <c r="O17" i="3"/>
  <c r="M17" i="3"/>
  <c r="K17" i="3"/>
  <c r="U17" i="3"/>
  <c r="P17" i="3"/>
  <c r="N17" i="3"/>
  <c r="L17" i="3"/>
  <c r="Q13" i="3"/>
  <c r="O13" i="3"/>
  <c r="M13" i="3"/>
  <c r="K13" i="3"/>
  <c r="U13" i="3"/>
  <c r="P13" i="3"/>
  <c r="N13" i="3"/>
  <c r="L13" i="3"/>
  <c r="Q9" i="3"/>
  <c r="O9" i="3"/>
  <c r="M9" i="3"/>
  <c r="K9" i="3"/>
  <c r="U9" i="3"/>
  <c r="P9" i="3"/>
  <c r="N9" i="3"/>
  <c r="L9" i="3"/>
  <c r="Q3" i="3"/>
  <c r="O3" i="3"/>
  <c r="M3" i="3"/>
  <c r="K3" i="3"/>
  <c r="U3" i="3"/>
  <c r="P3" i="3"/>
  <c r="N3" i="3"/>
  <c r="L3" i="3"/>
  <c r="U96" i="3"/>
  <c r="R96" i="3"/>
  <c r="P96" i="3"/>
  <c r="N96" i="3"/>
  <c r="L96" i="3"/>
  <c r="Q96" i="3"/>
  <c r="M96" i="3"/>
  <c r="S96" i="3"/>
  <c r="O96" i="3"/>
  <c r="K96" i="3"/>
  <c r="Y96" i="3"/>
  <c r="T96" i="3"/>
  <c r="U68" i="3"/>
  <c r="P68" i="3"/>
  <c r="N68" i="3"/>
  <c r="L68" i="3"/>
  <c r="Q68" i="3"/>
  <c r="M68" i="3"/>
  <c r="O68" i="3"/>
  <c r="K68" i="3"/>
  <c r="U54" i="3"/>
  <c r="P54" i="3"/>
  <c r="N54" i="3"/>
  <c r="L54" i="3"/>
  <c r="Q54" i="3"/>
  <c r="O54" i="3"/>
  <c r="M54" i="3"/>
  <c r="K54" i="3"/>
  <c r="U44" i="3"/>
  <c r="R44" i="3"/>
  <c r="P44" i="3"/>
  <c r="N44" i="3"/>
  <c r="L44" i="3"/>
  <c r="S44" i="3"/>
  <c r="Q44" i="3"/>
  <c r="O44" i="3"/>
  <c r="M44" i="3"/>
  <c r="K44" i="3"/>
  <c r="T44" i="3"/>
  <c r="Y44" i="3"/>
  <c r="U40" i="3"/>
  <c r="P40" i="3"/>
  <c r="N40" i="3"/>
  <c r="L40" i="3"/>
  <c r="Q40" i="3"/>
  <c r="O40" i="3"/>
  <c r="M40" i="3"/>
  <c r="K40" i="3"/>
  <c r="U36" i="3"/>
  <c r="R36" i="3"/>
  <c r="P36" i="3"/>
  <c r="N36" i="3"/>
  <c r="L36" i="3"/>
  <c r="S36" i="3"/>
  <c r="Q36" i="3"/>
  <c r="O36" i="3"/>
  <c r="M36" i="3"/>
  <c r="K36" i="3"/>
  <c r="T36" i="3"/>
  <c r="Y36" i="3"/>
  <c r="U28" i="3"/>
  <c r="R28" i="3"/>
  <c r="P28" i="3"/>
  <c r="N28" i="3"/>
  <c r="L28" i="3"/>
  <c r="S28" i="3"/>
  <c r="Q28" i="3"/>
  <c r="O28" i="3"/>
  <c r="M28" i="3"/>
  <c r="K28" i="3"/>
  <c r="Y28" i="3"/>
  <c r="T28" i="3"/>
  <c r="U24" i="3"/>
  <c r="P24" i="3"/>
  <c r="N24" i="3"/>
  <c r="L24" i="3"/>
  <c r="Q24" i="3"/>
  <c r="O24" i="3"/>
  <c r="M24" i="3"/>
  <c r="K24" i="3"/>
  <c r="U16" i="3"/>
  <c r="R16" i="3"/>
  <c r="P16" i="3"/>
  <c r="N16" i="3"/>
  <c r="L16" i="3"/>
  <c r="S16" i="3"/>
  <c r="Q16" i="3"/>
  <c r="O16" i="3"/>
  <c r="M16" i="3"/>
  <c r="K16" i="3"/>
  <c r="Y16" i="3"/>
  <c r="T16" i="3"/>
  <c r="U12" i="3"/>
  <c r="R12" i="3"/>
  <c r="P12" i="3"/>
  <c r="N12" i="3"/>
  <c r="L12" i="3"/>
  <c r="S12" i="3"/>
  <c r="Q12" i="3"/>
  <c r="O12" i="3"/>
  <c r="M12" i="3"/>
  <c r="K12" i="3"/>
  <c r="T12" i="3"/>
  <c r="Y12" i="3"/>
  <c r="U8" i="3"/>
  <c r="R8" i="3"/>
  <c r="P8" i="3"/>
  <c r="N8" i="3"/>
  <c r="L8" i="3"/>
  <c r="S8" i="3"/>
  <c r="Q8" i="3"/>
  <c r="O8" i="3"/>
  <c r="M8" i="3"/>
  <c r="K8" i="3"/>
  <c r="T8" i="3"/>
  <c r="Y8" i="3"/>
  <c r="U3" i="7"/>
  <c r="P3" i="7"/>
  <c r="N3" i="7"/>
  <c r="L3" i="7"/>
  <c r="M3" i="7"/>
  <c r="O3" i="7"/>
  <c r="Q3" i="7" s="1"/>
  <c r="K3" i="7"/>
  <c r="T233" i="3"/>
  <c r="T117" i="3"/>
  <c r="T107" i="4"/>
  <c r="T93" i="4"/>
  <c r="T186" i="3"/>
  <c r="T156" i="3"/>
  <c r="T116" i="3"/>
  <c r="T231" i="3"/>
  <c r="T185" i="3"/>
  <c r="T155" i="3"/>
  <c r="T115" i="3"/>
  <c r="T77" i="3"/>
  <c r="T230" i="3"/>
  <c r="T184" i="3"/>
  <c r="T154" i="3"/>
  <c r="T114" i="3"/>
  <c r="T76" i="3"/>
  <c r="T10" i="5"/>
  <c r="T212" i="4"/>
  <c r="T104" i="4"/>
  <c r="T90" i="4"/>
  <c r="T80" i="4"/>
  <c r="T62" i="4"/>
  <c r="T54" i="4"/>
  <c r="T38" i="4"/>
  <c r="T229" i="3"/>
  <c r="T183" i="3"/>
  <c r="T153" i="3"/>
  <c r="T125" i="3"/>
  <c r="T85" i="3"/>
  <c r="T51" i="3"/>
  <c r="T19" i="5"/>
  <c r="T254" i="3"/>
  <c r="T228" i="3"/>
  <c r="T194" i="3"/>
  <c r="T164" i="3"/>
  <c r="T139" i="3"/>
  <c r="T112" i="3"/>
  <c r="T74" i="3"/>
  <c r="T50" i="3"/>
  <c r="T22" i="3"/>
  <c r="T8" i="5"/>
  <c r="T210" i="4"/>
  <c r="T102" i="4"/>
  <c r="T88" i="4"/>
  <c r="T78" i="4"/>
  <c r="T68" i="4"/>
  <c r="T60" i="4"/>
  <c r="T52" i="4"/>
  <c r="T46" i="4"/>
  <c r="T36" i="4"/>
  <c r="T28" i="4"/>
  <c r="T247" i="3"/>
  <c r="T227" i="3"/>
  <c r="T211" i="3"/>
  <c r="T181" i="3"/>
  <c r="T151" i="3"/>
  <c r="T132" i="3"/>
  <c r="T111" i="3"/>
  <c r="T83" i="3"/>
  <c r="T59" i="3"/>
  <c r="T33" i="3"/>
  <c r="T7" i="3"/>
  <c r="T17" i="5"/>
  <c r="T252" i="3"/>
  <c r="T238" i="3"/>
  <c r="T216" i="3"/>
  <c r="T204" i="3"/>
  <c r="T180" i="3"/>
  <c r="T150" i="3"/>
  <c r="T131" i="3"/>
  <c r="T110" i="3"/>
  <c r="T82" i="3"/>
  <c r="T66" i="3"/>
  <c r="T48" i="3"/>
  <c r="T20" i="3"/>
  <c r="T16" i="6"/>
  <c r="T6" i="6"/>
  <c r="T6" i="5"/>
  <c r="T216" i="4"/>
  <c r="T208" i="4"/>
  <c r="T204" i="4"/>
  <c r="T120" i="4"/>
  <c r="T112" i="4"/>
  <c r="T100" i="4"/>
  <c r="T86" i="4"/>
  <c r="T76" i="4"/>
  <c r="T66" i="4"/>
  <c r="T58" i="4"/>
  <c r="T50" i="4"/>
  <c r="T44" i="4"/>
  <c r="T34" i="4"/>
  <c r="T26" i="4"/>
  <c r="T20" i="4"/>
  <c r="T16" i="4"/>
  <c r="T245" i="3"/>
  <c r="T225" i="3"/>
  <c r="T209" i="3"/>
  <c r="T199" i="3"/>
  <c r="T179" i="3"/>
  <c r="T149" i="3"/>
  <c r="T130" i="3"/>
  <c r="T109" i="3"/>
  <c r="T93" i="3"/>
  <c r="T71" i="3"/>
  <c r="T57" i="3"/>
  <c r="T43" i="3"/>
  <c r="T27" i="3"/>
  <c r="T15" i="3"/>
  <c r="T5" i="3"/>
  <c r="T9" i="6"/>
  <c r="T15" i="5"/>
  <c r="T250" i="3"/>
  <c r="T236" i="3"/>
  <c r="T214" i="3"/>
  <c r="T202" i="3"/>
  <c r="T190" i="3"/>
  <c r="T172" i="3"/>
  <c r="T148" i="3"/>
  <c r="T129" i="3"/>
  <c r="T108" i="3"/>
  <c r="T100" i="3"/>
  <c r="T80" i="3"/>
  <c r="T64" i="3"/>
  <c r="T46" i="3"/>
  <c r="T38" i="3"/>
  <c r="T26" i="3"/>
  <c r="T14" i="3"/>
  <c r="T4" i="3"/>
  <c r="T3" i="8"/>
  <c r="T14" i="6"/>
  <c r="T4" i="6"/>
  <c r="T3" i="6"/>
  <c r="T4" i="5"/>
  <c r="T3" i="5"/>
  <c r="T224" i="4"/>
  <c r="T214" i="4"/>
  <c r="T206" i="4"/>
  <c r="T202" i="4"/>
  <c r="T200" i="4"/>
  <c r="T199" i="4"/>
  <c r="T198" i="4"/>
  <c r="T197" i="4"/>
  <c r="T196" i="4"/>
  <c r="T186" i="4"/>
  <c r="T185" i="4"/>
  <c r="T184" i="4"/>
  <c r="T183" i="4"/>
  <c r="T182" i="4"/>
  <c r="T181" i="4"/>
  <c r="T180" i="4"/>
  <c r="T179" i="4"/>
  <c r="T178" i="4"/>
  <c r="T177" i="4"/>
  <c r="T164" i="4"/>
  <c r="T163" i="4"/>
  <c r="T162" i="4"/>
  <c r="T158" i="4"/>
  <c r="T157" i="4"/>
  <c r="T156" i="4"/>
  <c r="T155" i="4"/>
  <c r="T154" i="4"/>
  <c r="T153" i="4"/>
  <c r="T152" i="4"/>
  <c r="T151" i="4"/>
  <c r="T150" i="4"/>
  <c r="T149" i="4"/>
  <c r="T145" i="4"/>
  <c r="T144" i="4"/>
  <c r="T143" i="4"/>
  <c r="T142" i="4"/>
  <c r="T138" i="4"/>
  <c r="T137" i="4"/>
  <c r="T136" i="4"/>
  <c r="T135" i="4"/>
  <c r="T134" i="4"/>
  <c r="T133" i="4"/>
  <c r="T132" i="4"/>
  <c r="T131" i="4"/>
  <c r="T130" i="4"/>
  <c r="T129" i="4"/>
  <c r="T128" i="4"/>
  <c r="T123" i="4"/>
  <c r="T118" i="4"/>
  <c r="T110" i="4"/>
  <c r="T84" i="4"/>
  <c r="T82" i="4"/>
  <c r="T74" i="4"/>
  <c r="T64" i="4"/>
  <c r="T56" i="4"/>
  <c r="T48" i="4"/>
  <c r="T42" i="4"/>
  <c r="T24" i="4"/>
  <c r="T10" i="4"/>
  <c r="T117" i="4"/>
  <c r="T109" i="4"/>
  <c r="T73" i="4"/>
  <c r="T115" i="4"/>
  <c r="T95" i="4"/>
  <c r="T13" i="4"/>
  <c r="T9" i="4"/>
  <c r="T5" i="4"/>
  <c r="T249" i="3"/>
  <c r="T235" i="3"/>
  <c r="T213" i="3"/>
  <c r="T201" i="3"/>
  <c r="T189" i="3"/>
  <c r="T171" i="3"/>
  <c r="T147" i="3"/>
  <c r="T188" i="3"/>
  <c r="T206" i="3"/>
  <c r="T158" i="3"/>
  <c r="T128" i="3"/>
  <c r="T146" i="3"/>
  <c r="T119" i="3"/>
  <c r="T103" i="3"/>
  <c r="T97" i="3"/>
  <c r="T79" i="3"/>
  <c r="T63" i="3"/>
  <c r="T90" i="3"/>
  <c r="T55" i="3"/>
  <c r="T41" i="3"/>
  <c r="T29" i="3"/>
  <c r="T17" i="3"/>
  <c r="T9" i="3"/>
  <c r="T68" i="3"/>
  <c r="T40" i="3"/>
  <c r="T3" i="7"/>
  <c r="A43" i="1"/>
  <c r="A69" i="1"/>
  <c r="T170" i="3"/>
  <c r="T127" i="3"/>
  <c r="T99" i="3"/>
  <c r="T91" i="3"/>
  <c r="T69" i="3"/>
  <c r="T45" i="3"/>
  <c r="T13" i="3"/>
  <c r="T3" i="3"/>
  <c r="T54" i="3"/>
  <c r="A59" i="1"/>
  <c r="A12" i="1"/>
  <c r="T144" i="3"/>
  <c r="T232" i="3"/>
  <c r="T168" i="3"/>
  <c r="T143" i="3"/>
  <c r="T88" i="3"/>
  <c r="T106" i="4"/>
  <c r="T92" i="4"/>
  <c r="T221" i="3"/>
  <c r="T167" i="3"/>
  <c r="T142" i="3"/>
  <c r="T87" i="3"/>
  <c r="T11" i="5"/>
  <c r="T105" i="4"/>
  <c r="T91" i="4"/>
  <c r="T39" i="4"/>
  <c r="T220" i="3"/>
  <c r="T166" i="3"/>
  <c r="T141" i="3"/>
  <c r="T86" i="3"/>
  <c r="T52" i="3"/>
  <c r="T241" i="3"/>
  <c r="T219" i="3"/>
  <c r="T165" i="3"/>
  <c r="T140" i="3"/>
  <c r="T113" i="3"/>
  <c r="T75" i="3"/>
  <c r="T35" i="3"/>
  <c r="T9" i="5"/>
  <c r="T211" i="4"/>
  <c r="T103" i="4"/>
  <c r="T89" i="4"/>
  <c r="T79" i="4"/>
  <c r="T69" i="4"/>
  <c r="T61" i="4"/>
  <c r="T53" i="4"/>
  <c r="T37" i="4"/>
  <c r="T29" i="4"/>
  <c r="T240" i="3"/>
  <c r="T218" i="3"/>
  <c r="T182" i="3"/>
  <c r="T152" i="3"/>
  <c r="T124" i="3"/>
  <c r="T84" i="3"/>
  <c r="T60" i="3"/>
  <c r="T34" i="3"/>
  <c r="T18" i="5"/>
  <c r="T253" i="3"/>
  <c r="T239" i="3"/>
  <c r="T217" i="3"/>
  <c r="T193" i="3"/>
  <c r="T163" i="3"/>
  <c r="T138" i="3"/>
  <c r="T123" i="3"/>
  <c r="T95" i="3"/>
  <c r="T73" i="3"/>
  <c r="T49" i="3"/>
  <c r="T21" i="3"/>
  <c r="T11" i="6"/>
  <c r="T7" i="5"/>
  <c r="T217" i="4"/>
  <c r="T209" i="4"/>
  <c r="T121" i="4"/>
  <c r="T113" i="4"/>
  <c r="T101" i="4"/>
  <c r="T87" i="4"/>
  <c r="T77" i="4"/>
  <c r="T67" i="4"/>
  <c r="T59" i="4"/>
  <c r="T51" i="4"/>
  <c r="T45" i="4"/>
  <c r="T35" i="4"/>
  <c r="T27" i="4"/>
  <c r="T21" i="4"/>
  <c r="T246" i="3"/>
  <c r="T226" i="3"/>
  <c r="T210" i="3"/>
  <c r="T192" i="3"/>
  <c r="T162" i="3"/>
  <c r="T137" i="3"/>
  <c r="T122" i="3"/>
  <c r="T94" i="3"/>
  <c r="T72" i="3"/>
  <c r="T58" i="3"/>
  <c r="T32" i="3"/>
  <c r="T6" i="3"/>
  <c r="T10" i="6"/>
  <c r="T16" i="5"/>
  <c r="T251" i="3"/>
  <c r="T237" i="3"/>
  <c r="T215" i="3"/>
  <c r="T203" i="3"/>
  <c r="T191" i="3"/>
  <c r="T161" i="3"/>
  <c r="T136" i="3"/>
  <c r="T121" i="3"/>
  <c r="T105" i="3"/>
  <c r="T81" i="3"/>
  <c r="T65" i="3"/>
  <c r="T47" i="3"/>
  <c r="T31" i="3"/>
  <c r="T19" i="3"/>
  <c r="T11" i="3"/>
  <c r="T15" i="6"/>
  <c r="T5" i="6"/>
  <c r="T5" i="5"/>
  <c r="T221" i="4"/>
  <c r="T215" i="4"/>
  <c r="T207" i="4"/>
  <c r="T203" i="4"/>
  <c r="T119" i="4"/>
  <c r="T111" i="4"/>
  <c r="T99" i="4"/>
  <c r="T85" i="4"/>
  <c r="T75" i="4"/>
  <c r="T65" i="4"/>
  <c r="T57" i="4"/>
  <c r="T49" i="4"/>
  <c r="T43" i="4"/>
  <c r="T33" i="4"/>
  <c r="T25" i="4"/>
  <c r="T19" i="4"/>
  <c r="T15" i="4"/>
  <c r="T11" i="4"/>
  <c r="T7" i="4"/>
  <c r="T244" i="3"/>
  <c r="T224" i="3"/>
  <c r="T208" i="3"/>
  <c r="T198" i="3"/>
  <c r="T178" i="3"/>
  <c r="T160" i="3"/>
  <c r="T135" i="3"/>
  <c r="T120" i="3"/>
  <c r="T104" i="3"/>
  <c r="T92" i="3"/>
  <c r="T70" i="3"/>
  <c r="T56" i="3"/>
  <c r="T42" i="3"/>
  <c r="T30" i="3"/>
  <c r="T18" i="3"/>
  <c r="T10" i="3"/>
  <c r="T18" i="6"/>
  <c r="T8" i="6"/>
  <c r="T13" i="6"/>
  <c r="T14" i="5"/>
  <c r="T13" i="5"/>
  <c r="T220" i="4"/>
  <c r="T194" i="4"/>
  <c r="T193" i="4"/>
  <c r="T192" i="4"/>
  <c r="T191" i="4"/>
  <c r="T190" i="4"/>
  <c r="T189" i="4"/>
  <c r="T188" i="4"/>
  <c r="T175" i="4"/>
  <c r="T174" i="4"/>
  <c r="T173" i="4"/>
  <c r="T172" i="4"/>
  <c r="T171" i="4"/>
  <c r="T170" i="4"/>
  <c r="T169" i="4"/>
  <c r="T168" i="4"/>
  <c r="T167" i="4"/>
  <c r="T166" i="4"/>
  <c r="T160" i="4"/>
  <c r="T147" i="4"/>
  <c r="T140" i="4"/>
  <c r="T126" i="4"/>
  <c r="T125" i="4"/>
  <c r="T223" i="4"/>
  <c r="T219" i="4"/>
  <c r="T98" i="4"/>
  <c r="T96" i="4"/>
  <c r="T32" i="4"/>
  <c r="T18" i="4"/>
  <c r="T14" i="4"/>
  <c r="T6" i="4"/>
  <c r="T71" i="4"/>
  <c r="T41" i="4"/>
  <c r="T31" i="4"/>
  <c r="T23" i="4"/>
  <c r="T3" i="4"/>
  <c r="T243" i="3"/>
  <c r="T223" i="3"/>
  <c r="T207" i="3"/>
  <c r="T197" i="3"/>
  <c r="T177" i="3"/>
  <c r="T159" i="3"/>
  <c r="T196" i="3"/>
  <c r="T176" i="3"/>
  <c r="T174" i="3"/>
  <c r="T134" i="3"/>
  <c r="T107" i="3"/>
  <c r="T102" i="3"/>
  <c r="T62" i="3"/>
  <c r="T37" i="3"/>
  <c r="T25" i="3"/>
  <c r="T24" i="3"/>
  <c r="A84" i="1"/>
  <c r="V36" i="3" l="1"/>
  <c r="X36" i="3"/>
  <c r="X9" i="3"/>
  <c r="V9" i="3"/>
  <c r="Y9" i="3" s="1"/>
  <c r="X41" i="3"/>
  <c r="V41" i="3"/>
  <c r="Y41" i="3" s="1"/>
  <c r="X62" i="3"/>
  <c r="V62" i="3"/>
  <c r="Y62" i="3" s="1"/>
  <c r="V118" i="3"/>
  <c r="X118" i="3"/>
  <c r="X63" i="3"/>
  <c r="V63" i="3"/>
  <c r="Y63" i="3" s="1"/>
  <c r="X67" i="3"/>
  <c r="V67" i="3"/>
  <c r="V127" i="3"/>
  <c r="Y127" i="3" s="1"/>
  <c r="X127" i="3"/>
  <c r="X133" i="3"/>
  <c r="V133" i="3"/>
  <c r="X174" i="3"/>
  <c r="V174" i="3"/>
  <c r="Y174" i="3" s="1"/>
  <c r="V176" i="3"/>
  <c r="Y176" i="3" s="1"/>
  <c r="X176" i="3"/>
  <c r="X196" i="3"/>
  <c r="V196" i="3"/>
  <c r="Y196" i="3" s="1"/>
  <c r="X200" i="3"/>
  <c r="V200" i="3"/>
  <c r="X212" i="3"/>
  <c r="V212" i="3"/>
  <c r="V258" i="3"/>
  <c r="X258" i="3"/>
  <c r="X266" i="3"/>
  <c r="V266" i="3"/>
  <c r="V147" i="3"/>
  <c r="Y147" i="3" s="1"/>
  <c r="X147" i="3"/>
  <c r="X157" i="3"/>
  <c r="V157" i="3"/>
  <c r="V159" i="3"/>
  <c r="Y159" i="3" s="1"/>
  <c r="X159" i="3"/>
  <c r="X171" i="3"/>
  <c r="V171" i="3"/>
  <c r="Y171" i="3" s="1"/>
  <c r="X173" i="3"/>
  <c r="V173" i="3"/>
  <c r="V189" i="3"/>
  <c r="Y189" i="3" s="1"/>
  <c r="X189" i="3"/>
  <c r="X195" i="3"/>
  <c r="V195" i="3"/>
  <c r="V201" i="3"/>
  <c r="Y201" i="3" s="1"/>
  <c r="X201" i="3"/>
  <c r="X205" i="3"/>
  <c r="V205" i="3"/>
  <c r="V213" i="3"/>
  <c r="Y213" i="3" s="1"/>
  <c r="X213" i="3"/>
  <c r="V235" i="3"/>
  <c r="Y235" i="3" s="1"/>
  <c r="X235" i="3"/>
  <c r="X248" i="3"/>
  <c r="V248" i="3"/>
  <c r="X256" i="3"/>
  <c r="V256" i="3"/>
  <c r="V260" i="3"/>
  <c r="X260" i="3"/>
  <c r="V264" i="3"/>
  <c r="X264" i="3"/>
  <c r="X268" i="3"/>
  <c r="V268" i="3"/>
  <c r="V249" i="3"/>
  <c r="Y249" i="3" s="1"/>
  <c r="X249" i="3"/>
  <c r="V255" i="3"/>
  <c r="X255" i="3"/>
  <c r="V257" i="3"/>
  <c r="X257" i="3"/>
  <c r="X261" i="3"/>
  <c r="V261" i="3"/>
  <c r="X263" i="3"/>
  <c r="V263" i="3"/>
  <c r="X265" i="3"/>
  <c r="V265" i="3"/>
  <c r="X269" i="3"/>
  <c r="V269" i="3"/>
  <c r="V47" i="4"/>
  <c r="X47" i="4"/>
  <c r="V17" i="4"/>
  <c r="X17" i="4"/>
  <c r="V41" i="4"/>
  <c r="Y41" i="4" s="1"/>
  <c r="X41" i="4"/>
  <c r="V55" i="4"/>
  <c r="X55" i="4"/>
  <c r="X83" i="4"/>
  <c r="V83" i="4"/>
  <c r="V95" i="4"/>
  <c r="Y95" i="4" s="1"/>
  <c r="X95" i="4"/>
  <c r="V115" i="4"/>
  <c r="Y115" i="4" s="1"/>
  <c r="X115" i="4"/>
  <c r="X81" i="4"/>
  <c r="V81" i="4"/>
  <c r="V213" i="4"/>
  <c r="X213" i="4"/>
  <c r="V8" i="4"/>
  <c r="X8" i="4"/>
  <c r="V10" i="4"/>
  <c r="Y10" i="4" s="1"/>
  <c r="X10" i="4"/>
  <c r="X22" i="4"/>
  <c r="V22" i="4"/>
  <c r="X24" i="4"/>
  <c r="V24" i="4"/>
  <c r="Y24" i="4" s="1"/>
  <c r="V40" i="4"/>
  <c r="X40" i="4"/>
  <c r="V42" i="4"/>
  <c r="Y42" i="4" s="1"/>
  <c r="X42" i="4"/>
  <c r="X48" i="4"/>
  <c r="V48" i="4"/>
  <c r="Y48" i="4" s="1"/>
  <c r="V56" i="4"/>
  <c r="Y56" i="4" s="1"/>
  <c r="X56" i="4"/>
  <c r="V64" i="4"/>
  <c r="Y64" i="4" s="1"/>
  <c r="X64" i="4"/>
  <c r="X72" i="4"/>
  <c r="V72" i="4"/>
  <c r="V74" i="4"/>
  <c r="Y74" i="4" s="1"/>
  <c r="X74" i="4"/>
  <c r="V82" i="4"/>
  <c r="Y82" i="4" s="1"/>
  <c r="X82" i="4"/>
  <c r="X84" i="4"/>
  <c r="V84" i="4"/>
  <c r="Y84" i="4" s="1"/>
  <c r="V108" i="4"/>
  <c r="X108" i="4"/>
  <c r="V110" i="4"/>
  <c r="Y110" i="4" s="1"/>
  <c r="X110" i="4"/>
  <c r="X116" i="4"/>
  <c r="V116" i="4"/>
  <c r="V118" i="4"/>
  <c r="Y118" i="4" s="1"/>
  <c r="X118" i="4"/>
  <c r="V223" i="4"/>
  <c r="Y223" i="4" s="1"/>
  <c r="X223" i="4"/>
  <c r="V122" i="4"/>
  <c r="X122" i="4"/>
  <c r="V123" i="4"/>
  <c r="Y123" i="4" s="1"/>
  <c r="X123" i="4"/>
  <c r="X127" i="4"/>
  <c r="V127" i="4"/>
  <c r="V128" i="4"/>
  <c r="Y128" i="4" s="1"/>
  <c r="X128" i="4"/>
  <c r="X129" i="4"/>
  <c r="V129" i="4"/>
  <c r="Y129" i="4" s="1"/>
  <c r="X130" i="4"/>
  <c r="V130" i="4"/>
  <c r="Y130" i="4" s="1"/>
  <c r="X131" i="4"/>
  <c r="V131" i="4"/>
  <c r="Y131" i="4" s="1"/>
  <c r="X132" i="4"/>
  <c r="V132" i="4"/>
  <c r="Y132" i="4" s="1"/>
  <c r="V133" i="4"/>
  <c r="Y133" i="4" s="1"/>
  <c r="X133" i="4"/>
  <c r="V134" i="4"/>
  <c r="Y134" i="4" s="1"/>
  <c r="X134" i="4"/>
  <c r="V135" i="4"/>
  <c r="Y135" i="4" s="1"/>
  <c r="X135" i="4"/>
  <c r="V136" i="4"/>
  <c r="Y136" i="4" s="1"/>
  <c r="X136" i="4"/>
  <c r="V137" i="4"/>
  <c r="Y137" i="4" s="1"/>
  <c r="X137" i="4"/>
  <c r="V138" i="4"/>
  <c r="Y138" i="4" s="1"/>
  <c r="X138" i="4"/>
  <c r="V141" i="4"/>
  <c r="X141" i="4"/>
  <c r="X142" i="4"/>
  <c r="V142" i="4"/>
  <c r="Y142" i="4" s="1"/>
  <c r="X143" i="4"/>
  <c r="V143" i="4"/>
  <c r="Y143" i="4" s="1"/>
  <c r="V144" i="4"/>
  <c r="Y144" i="4" s="1"/>
  <c r="X144" i="4"/>
  <c r="V145" i="4"/>
  <c r="Y145" i="4" s="1"/>
  <c r="X145" i="4"/>
  <c r="X148" i="4"/>
  <c r="V148" i="4"/>
  <c r="V149" i="4"/>
  <c r="Y149" i="4" s="1"/>
  <c r="X149" i="4"/>
  <c r="X150" i="4"/>
  <c r="V150" i="4"/>
  <c r="Y150" i="4" s="1"/>
  <c r="V151" i="4"/>
  <c r="Y151" i="4" s="1"/>
  <c r="X151" i="4"/>
  <c r="X152" i="4"/>
  <c r="V152" i="4"/>
  <c r="Y152" i="4" s="1"/>
  <c r="X153" i="4"/>
  <c r="V153" i="4"/>
  <c r="Y153" i="4" s="1"/>
  <c r="X154" i="4"/>
  <c r="V154" i="4"/>
  <c r="Y154" i="4" s="1"/>
  <c r="X155" i="4"/>
  <c r="V155" i="4"/>
  <c r="Y155" i="4" s="1"/>
  <c r="V156" i="4"/>
  <c r="Y156" i="4" s="1"/>
  <c r="X156" i="4"/>
  <c r="X157" i="4"/>
  <c r="V157" i="4"/>
  <c r="Y157" i="4" s="1"/>
  <c r="V158" i="4"/>
  <c r="Y158" i="4" s="1"/>
  <c r="X158" i="4"/>
  <c r="V161" i="4"/>
  <c r="X161" i="4"/>
  <c r="X162" i="4"/>
  <c r="V162" i="4"/>
  <c r="Y162" i="4" s="1"/>
  <c r="X163" i="4"/>
  <c r="V163" i="4"/>
  <c r="Y163" i="4" s="1"/>
  <c r="V164" i="4"/>
  <c r="Y164" i="4" s="1"/>
  <c r="X164" i="4"/>
  <c r="V176" i="4"/>
  <c r="X176" i="4"/>
  <c r="V177" i="4"/>
  <c r="Y177" i="4" s="1"/>
  <c r="X177" i="4"/>
  <c r="V178" i="4"/>
  <c r="Y178" i="4" s="1"/>
  <c r="X178" i="4"/>
  <c r="X179" i="4"/>
  <c r="V179" i="4"/>
  <c r="Y179" i="4" s="1"/>
  <c r="X180" i="4"/>
  <c r="V180" i="4"/>
  <c r="Y180" i="4" s="1"/>
  <c r="V181" i="4"/>
  <c r="Y181" i="4" s="1"/>
  <c r="X181" i="4"/>
  <c r="V182" i="4"/>
  <c r="Y182" i="4" s="1"/>
  <c r="X182" i="4"/>
  <c r="V183" i="4"/>
  <c r="Y183" i="4" s="1"/>
  <c r="X183" i="4"/>
  <c r="X184" i="4"/>
  <c r="V184" i="4"/>
  <c r="Y184" i="4" s="1"/>
  <c r="X185" i="4"/>
  <c r="V185" i="4"/>
  <c r="Y185" i="4" s="1"/>
  <c r="X186" i="4"/>
  <c r="V186" i="4"/>
  <c r="Y186" i="4" s="1"/>
  <c r="X195" i="4"/>
  <c r="V195" i="4"/>
  <c r="X196" i="4"/>
  <c r="V196" i="4"/>
  <c r="Y196" i="4" s="1"/>
  <c r="X197" i="4"/>
  <c r="V197" i="4"/>
  <c r="Y197" i="4" s="1"/>
  <c r="X198" i="4"/>
  <c r="V198" i="4"/>
  <c r="Y198" i="4" s="1"/>
  <c r="V200" i="4"/>
  <c r="Y200" i="4" s="1"/>
  <c r="X200" i="4"/>
  <c r="X202" i="4"/>
  <c r="V202" i="4"/>
  <c r="Y202" i="4" s="1"/>
  <c r="V206" i="4"/>
  <c r="Y206" i="4" s="1"/>
  <c r="X206" i="4"/>
  <c r="V214" i="4"/>
  <c r="Y214" i="4" s="1"/>
  <c r="X214" i="4"/>
  <c r="V222" i="4"/>
  <c r="X222" i="4"/>
  <c r="V224" i="4"/>
  <c r="Y224" i="4" s="1"/>
  <c r="X224" i="4"/>
  <c r="X13" i="5"/>
  <c r="V13" i="5"/>
  <c r="Y13" i="5" s="1"/>
  <c r="V4" i="5"/>
  <c r="Y4" i="5" s="1"/>
  <c r="X4" i="5"/>
  <c r="V12" i="5"/>
  <c r="X12" i="5"/>
  <c r="V22" i="5"/>
  <c r="X22" i="5"/>
  <c r="X13" i="6"/>
  <c r="V13" i="6"/>
  <c r="Y13" i="6" s="1"/>
  <c r="X4" i="6"/>
  <c r="V4" i="6"/>
  <c r="Y4" i="6" s="1"/>
  <c r="V14" i="6"/>
  <c r="Y14" i="6" s="1"/>
  <c r="X14" i="6"/>
  <c r="X4" i="8"/>
  <c r="V4" i="8"/>
  <c r="V3" i="8"/>
  <c r="Y3" i="8" s="1"/>
  <c r="X3" i="8"/>
  <c r="X10" i="3"/>
  <c r="V10" i="3"/>
  <c r="Y10" i="3" s="1"/>
  <c r="X18" i="3"/>
  <c r="V18" i="3"/>
  <c r="Y18" i="3" s="1"/>
  <c r="V30" i="3"/>
  <c r="Y30" i="3" s="1"/>
  <c r="X30" i="3"/>
  <c r="X42" i="3"/>
  <c r="V42" i="3"/>
  <c r="Y42" i="3" s="1"/>
  <c r="X56" i="3"/>
  <c r="V56" i="3"/>
  <c r="Y56" i="3" s="1"/>
  <c r="V70" i="3"/>
  <c r="Y70" i="3" s="1"/>
  <c r="X70" i="3"/>
  <c r="V92" i="3"/>
  <c r="Y92" i="3" s="1"/>
  <c r="X92" i="3"/>
  <c r="X104" i="3"/>
  <c r="V104" i="3"/>
  <c r="Y104" i="3" s="1"/>
  <c r="X120" i="3"/>
  <c r="V120" i="3"/>
  <c r="Y120" i="3" s="1"/>
  <c r="X135" i="3"/>
  <c r="V135" i="3"/>
  <c r="Y135" i="3" s="1"/>
  <c r="V160" i="3"/>
  <c r="Y160" i="3" s="1"/>
  <c r="X160" i="3"/>
  <c r="V178" i="3"/>
  <c r="Y178" i="3" s="1"/>
  <c r="X178" i="3"/>
  <c r="V198" i="3"/>
  <c r="Y198" i="3" s="1"/>
  <c r="X198" i="3"/>
  <c r="X208" i="3"/>
  <c r="V208" i="3"/>
  <c r="Y208" i="3" s="1"/>
  <c r="X224" i="3"/>
  <c r="V224" i="3"/>
  <c r="Y224" i="3" s="1"/>
  <c r="X244" i="3"/>
  <c r="V244" i="3"/>
  <c r="Y244" i="3" s="1"/>
  <c r="V25" i="4"/>
  <c r="Y25" i="4" s="1"/>
  <c r="X25" i="4"/>
  <c r="V33" i="4"/>
  <c r="Y33" i="4" s="1"/>
  <c r="X33" i="4"/>
  <c r="X85" i="4"/>
  <c r="V85" i="4"/>
  <c r="Y85" i="4" s="1"/>
  <c r="V207" i="4"/>
  <c r="Y207" i="4" s="1"/>
  <c r="X207" i="4"/>
  <c r="X215" i="4"/>
  <c r="V215" i="4"/>
  <c r="Y215" i="4" s="1"/>
  <c r="X5" i="5"/>
  <c r="V5" i="5"/>
  <c r="Y5" i="5" s="1"/>
  <c r="V5" i="6"/>
  <c r="Y5" i="6" s="1"/>
  <c r="X5" i="6"/>
  <c r="V15" i="6"/>
  <c r="Y15" i="6" s="1"/>
  <c r="X15" i="6"/>
  <c r="X5" i="3"/>
  <c r="V5" i="3"/>
  <c r="Y5" i="3" s="1"/>
  <c r="X15" i="3"/>
  <c r="V15" i="3"/>
  <c r="Y15" i="3" s="1"/>
  <c r="V27" i="3"/>
  <c r="Y27" i="3" s="1"/>
  <c r="X27" i="3"/>
  <c r="V43" i="3"/>
  <c r="Y43" i="3" s="1"/>
  <c r="X43" i="3"/>
  <c r="X57" i="3"/>
  <c r="V57" i="3"/>
  <c r="Y57" i="3" s="1"/>
  <c r="X71" i="3"/>
  <c r="V71" i="3"/>
  <c r="Y71" i="3" s="1"/>
  <c r="V93" i="3"/>
  <c r="Y93" i="3" s="1"/>
  <c r="X93" i="3"/>
  <c r="V109" i="3"/>
  <c r="Y109" i="3" s="1"/>
  <c r="X109" i="3"/>
  <c r="X130" i="3"/>
  <c r="V130" i="3"/>
  <c r="Y130" i="3" s="1"/>
  <c r="V149" i="3"/>
  <c r="Y149" i="3" s="1"/>
  <c r="X149" i="3"/>
  <c r="X179" i="3"/>
  <c r="V179" i="3"/>
  <c r="Y179" i="3" s="1"/>
  <c r="V199" i="3"/>
  <c r="Y199" i="3" s="1"/>
  <c r="X199" i="3"/>
  <c r="V209" i="3"/>
  <c r="Y209" i="3" s="1"/>
  <c r="X209" i="3"/>
  <c r="V225" i="3"/>
  <c r="Y225" i="3" s="1"/>
  <c r="X225" i="3"/>
  <c r="V245" i="3"/>
  <c r="X245" i="3"/>
  <c r="V251" i="3"/>
  <c r="Y251" i="3" s="1"/>
  <c r="X251" i="3"/>
  <c r="X16" i="4"/>
  <c r="V16" i="4"/>
  <c r="Y16" i="4" s="1"/>
  <c r="V20" i="4"/>
  <c r="Y20" i="4" s="1"/>
  <c r="X20" i="4"/>
  <c r="X26" i="4"/>
  <c r="V26" i="4"/>
  <c r="Y26" i="4" s="1"/>
  <c r="X34" i="4"/>
  <c r="V34" i="4"/>
  <c r="Y34" i="4" s="1"/>
  <c r="X44" i="4"/>
  <c r="V44" i="4"/>
  <c r="Y44" i="4" s="1"/>
  <c r="V50" i="4"/>
  <c r="Y50" i="4" s="1"/>
  <c r="X50" i="4"/>
  <c r="V58" i="4"/>
  <c r="Y58" i="4" s="1"/>
  <c r="X58" i="4"/>
  <c r="V66" i="4"/>
  <c r="Y66" i="4" s="1"/>
  <c r="X66" i="4"/>
  <c r="X76" i="4"/>
  <c r="V76" i="4"/>
  <c r="Y76" i="4" s="1"/>
  <c r="V86" i="4"/>
  <c r="Y86" i="4" s="1"/>
  <c r="X86" i="4"/>
  <c r="V100" i="4"/>
  <c r="Y100" i="4" s="1"/>
  <c r="X100" i="4"/>
  <c r="X112" i="4"/>
  <c r="V112" i="4"/>
  <c r="Y112" i="4" s="1"/>
  <c r="X120" i="4"/>
  <c r="V120" i="4"/>
  <c r="Y120" i="4" s="1"/>
  <c r="X204" i="4"/>
  <c r="V204" i="4"/>
  <c r="Y204" i="4" s="1"/>
  <c r="X208" i="4"/>
  <c r="V208" i="4"/>
  <c r="Y208" i="4" s="1"/>
  <c r="X216" i="4"/>
  <c r="V216" i="4"/>
  <c r="Y216" i="4" s="1"/>
  <c r="V6" i="5"/>
  <c r="Y6" i="5" s="1"/>
  <c r="X6" i="5"/>
  <c r="V16" i="5"/>
  <c r="Y16" i="5" s="1"/>
  <c r="X16" i="5"/>
  <c r="X6" i="6"/>
  <c r="V6" i="6"/>
  <c r="Y6" i="6" s="1"/>
  <c r="X16" i="6"/>
  <c r="V16" i="6"/>
  <c r="Y16" i="6" s="1"/>
  <c r="X6" i="3"/>
  <c r="V6" i="3"/>
  <c r="Y6" i="3" s="1"/>
  <c r="X32" i="3"/>
  <c r="V32" i="3"/>
  <c r="Y32" i="3" s="1"/>
  <c r="V58" i="3"/>
  <c r="Y58" i="3" s="1"/>
  <c r="X58" i="3"/>
  <c r="X72" i="3"/>
  <c r="V72" i="3"/>
  <c r="Y72" i="3" s="1"/>
  <c r="X94" i="3"/>
  <c r="V94" i="3"/>
  <c r="Y94" i="3" s="1"/>
  <c r="V122" i="3"/>
  <c r="Y122" i="3" s="1"/>
  <c r="X122" i="3"/>
  <c r="X137" i="3"/>
  <c r="V137" i="3"/>
  <c r="Y137" i="3" s="1"/>
  <c r="X162" i="3"/>
  <c r="V162" i="3"/>
  <c r="Y162" i="3" s="1"/>
  <c r="X192" i="3"/>
  <c r="V192" i="3"/>
  <c r="Y192" i="3" s="1"/>
  <c r="X210" i="3"/>
  <c r="V210" i="3"/>
  <c r="Y210" i="3" s="1"/>
  <c r="V226" i="3"/>
  <c r="Y226" i="3" s="1"/>
  <c r="X226" i="3"/>
  <c r="V246" i="3"/>
  <c r="Y246" i="3" s="1"/>
  <c r="X246" i="3"/>
  <c r="V21" i="4"/>
  <c r="Y21" i="4" s="1"/>
  <c r="X21" i="4"/>
  <c r="X45" i="4"/>
  <c r="V45" i="4"/>
  <c r="Y45" i="4" s="1"/>
  <c r="X51" i="4"/>
  <c r="V51" i="4"/>
  <c r="Y51" i="4" s="1"/>
  <c r="V59" i="4"/>
  <c r="Y59" i="4" s="1"/>
  <c r="X59" i="4"/>
  <c r="V67" i="4"/>
  <c r="Y67" i="4" s="1"/>
  <c r="X67" i="4"/>
  <c r="X77" i="4"/>
  <c r="V77" i="4"/>
  <c r="Y77" i="4" s="1"/>
  <c r="V101" i="4"/>
  <c r="Y101" i="4" s="1"/>
  <c r="X101" i="4"/>
  <c r="V113" i="4"/>
  <c r="Y113" i="4" s="1"/>
  <c r="X113" i="4"/>
  <c r="X7" i="5"/>
  <c r="V7" i="5"/>
  <c r="Y7" i="5" s="1"/>
  <c r="V11" i="6"/>
  <c r="Y11" i="6" s="1"/>
  <c r="X11" i="6"/>
  <c r="V7" i="3"/>
  <c r="Y7" i="3" s="1"/>
  <c r="X7" i="3"/>
  <c r="X33" i="3"/>
  <c r="V33" i="3"/>
  <c r="Y33" i="3" s="1"/>
  <c r="V59" i="3"/>
  <c r="Y59" i="3" s="1"/>
  <c r="X59" i="3"/>
  <c r="X83" i="3"/>
  <c r="V83" i="3"/>
  <c r="Y83" i="3" s="1"/>
  <c r="X111" i="3"/>
  <c r="V111" i="3"/>
  <c r="Y111" i="3" s="1"/>
  <c r="X132" i="3"/>
  <c r="V132" i="3"/>
  <c r="Y132" i="3" s="1"/>
  <c r="V181" i="3"/>
  <c r="Y181" i="3" s="1"/>
  <c r="X181" i="3"/>
  <c r="X211" i="3"/>
  <c r="V211" i="3"/>
  <c r="Y211" i="3" s="1"/>
  <c r="X227" i="3"/>
  <c r="V227" i="3"/>
  <c r="Y227" i="3" s="1"/>
  <c r="V247" i="3"/>
  <c r="Y247" i="3" s="1"/>
  <c r="X247" i="3"/>
  <c r="X28" i="4"/>
  <c r="V28" i="4"/>
  <c r="Y28" i="4" s="1"/>
  <c r="V36" i="4"/>
  <c r="Y36" i="4" s="1"/>
  <c r="X36" i="4"/>
  <c r="X46" i="4"/>
  <c r="V46" i="4"/>
  <c r="Y46" i="4" s="1"/>
  <c r="V52" i="4"/>
  <c r="Y52" i="4" s="1"/>
  <c r="X52" i="4"/>
  <c r="V60" i="4"/>
  <c r="Y60" i="4" s="1"/>
  <c r="X60" i="4"/>
  <c r="V68" i="4"/>
  <c r="Y68" i="4" s="1"/>
  <c r="X68" i="4"/>
  <c r="V78" i="4"/>
  <c r="Y78" i="4" s="1"/>
  <c r="X78" i="4"/>
  <c r="V88" i="4"/>
  <c r="Y88" i="4" s="1"/>
  <c r="X88" i="4"/>
  <c r="V102" i="4"/>
  <c r="Y102" i="4" s="1"/>
  <c r="X102" i="4"/>
  <c r="X210" i="4"/>
  <c r="V210" i="4"/>
  <c r="Y210" i="4" s="1"/>
  <c r="V18" i="5"/>
  <c r="Y18" i="5" s="1"/>
  <c r="X18" i="5"/>
  <c r="X34" i="3"/>
  <c r="V34" i="3"/>
  <c r="Y34" i="3" s="1"/>
  <c r="V60" i="3"/>
  <c r="Y60" i="3" s="1"/>
  <c r="X60" i="3"/>
  <c r="V84" i="3"/>
  <c r="Y84" i="3" s="1"/>
  <c r="X84" i="3"/>
  <c r="V124" i="3"/>
  <c r="Y124" i="3" s="1"/>
  <c r="X124" i="3"/>
  <c r="V139" i="3"/>
  <c r="Y139" i="3" s="1"/>
  <c r="X139" i="3"/>
  <c r="V152" i="3"/>
  <c r="Y152" i="3" s="1"/>
  <c r="X152" i="3"/>
  <c r="X182" i="3"/>
  <c r="V182" i="3"/>
  <c r="Y182" i="3" s="1"/>
  <c r="X218" i="3"/>
  <c r="V218" i="3"/>
  <c r="Y218" i="3" s="1"/>
  <c r="V240" i="3"/>
  <c r="Y240" i="3" s="1"/>
  <c r="X240" i="3"/>
  <c r="X29" i="4"/>
  <c r="V29" i="4"/>
  <c r="Y29" i="4" s="1"/>
  <c r="X37" i="4"/>
  <c r="V37" i="4"/>
  <c r="Y37" i="4" s="1"/>
  <c r="V89" i="4"/>
  <c r="Y89" i="4" s="1"/>
  <c r="X89" i="4"/>
  <c r="X9" i="5"/>
  <c r="V9" i="5"/>
  <c r="Y9" i="5" s="1"/>
  <c r="X19" i="5"/>
  <c r="V19" i="5"/>
  <c r="Y19" i="5" s="1"/>
  <c r="V51" i="3"/>
  <c r="Y51" i="3" s="1"/>
  <c r="X51" i="3"/>
  <c r="X85" i="3"/>
  <c r="V85" i="3"/>
  <c r="Y85" i="3" s="1"/>
  <c r="X140" i="3"/>
  <c r="V140" i="3"/>
  <c r="Y140" i="3" s="1"/>
  <c r="V153" i="3"/>
  <c r="Y153" i="3" s="1"/>
  <c r="X153" i="3"/>
  <c r="X229" i="3"/>
  <c r="V229" i="3"/>
  <c r="Y229" i="3" s="1"/>
  <c r="V38" i="4"/>
  <c r="Y38" i="4" s="1"/>
  <c r="X38" i="4"/>
  <c r="X54" i="4"/>
  <c r="V54" i="4"/>
  <c r="Y54" i="4" s="1"/>
  <c r="V62" i="4"/>
  <c r="Y62" i="4" s="1"/>
  <c r="X62" i="4"/>
  <c r="X80" i="4"/>
  <c r="V80" i="4"/>
  <c r="Y80" i="4" s="1"/>
  <c r="X90" i="4"/>
  <c r="V90" i="4"/>
  <c r="Y90" i="4" s="1"/>
  <c r="X104" i="4"/>
  <c r="V104" i="4"/>
  <c r="Y104" i="4" s="1"/>
  <c r="X212" i="4"/>
  <c r="V212" i="4"/>
  <c r="Y212" i="4" s="1"/>
  <c r="V10" i="5"/>
  <c r="Y10" i="5" s="1"/>
  <c r="X10" i="5"/>
  <c r="X52" i="3"/>
  <c r="V52" i="3"/>
  <c r="Y52" i="3" s="1"/>
  <c r="V86" i="3"/>
  <c r="Y86" i="3" s="1"/>
  <c r="X86" i="3"/>
  <c r="V166" i="3"/>
  <c r="Y166" i="3" s="1"/>
  <c r="X166" i="3"/>
  <c r="V220" i="3"/>
  <c r="Y220" i="3" s="1"/>
  <c r="X220" i="3"/>
  <c r="V105" i="4"/>
  <c r="Y105" i="4" s="1"/>
  <c r="X105" i="4"/>
  <c r="X11" i="5"/>
  <c r="V11" i="5"/>
  <c r="Y11" i="5" s="1"/>
  <c r="X77" i="3"/>
  <c r="V77" i="3"/>
  <c r="Y77" i="3" s="1"/>
  <c r="X115" i="3"/>
  <c r="V115" i="3"/>
  <c r="Y115" i="3" s="1"/>
  <c r="X142" i="3"/>
  <c r="V142" i="3"/>
  <c r="Y142" i="3" s="1"/>
  <c r="V155" i="3"/>
  <c r="Y155" i="3" s="1"/>
  <c r="X155" i="3"/>
  <c r="V167" i="3"/>
  <c r="Y167" i="3" s="1"/>
  <c r="X167" i="3"/>
  <c r="V185" i="3"/>
  <c r="Y185" i="3" s="1"/>
  <c r="X185" i="3"/>
  <c r="X231" i="3"/>
  <c r="V231" i="3"/>
  <c r="Y231" i="3" s="1"/>
  <c r="X88" i="3"/>
  <c r="V88" i="3"/>
  <c r="Y88" i="3" s="1"/>
  <c r="X143" i="3"/>
  <c r="V143" i="3"/>
  <c r="Y143" i="3" s="1"/>
  <c r="X168" i="3"/>
  <c r="V168" i="3"/>
  <c r="Y168" i="3" s="1"/>
  <c r="X232" i="3"/>
  <c r="V232" i="3"/>
  <c r="Y232" i="3" s="1"/>
  <c r="V107" i="4"/>
  <c r="Y107" i="4" s="1"/>
  <c r="X107" i="4"/>
  <c r="V117" i="3"/>
  <c r="Y117" i="3" s="1"/>
  <c r="X117" i="3"/>
  <c r="V144" i="3"/>
  <c r="Y144" i="3" s="1"/>
  <c r="X144" i="3"/>
  <c r="V233" i="3"/>
  <c r="Y233" i="3" s="1"/>
  <c r="X233" i="3"/>
  <c r="V24" i="3"/>
  <c r="Y24" i="3" s="1"/>
  <c r="X24" i="3"/>
  <c r="V28" i="3"/>
  <c r="X28" i="3"/>
  <c r="X54" i="3"/>
  <c r="V54" i="3"/>
  <c r="Y54" i="3" s="1"/>
  <c r="X17" i="3"/>
  <c r="V17" i="3"/>
  <c r="Y17" i="3" s="1"/>
  <c r="X23" i="3"/>
  <c r="V23" i="3"/>
  <c r="V29" i="3"/>
  <c r="Y29" i="3" s="1"/>
  <c r="X29" i="3"/>
  <c r="V55" i="3"/>
  <c r="Y55" i="3" s="1"/>
  <c r="X55" i="3"/>
  <c r="V78" i="3"/>
  <c r="X78" i="3"/>
  <c r="V102" i="3"/>
  <c r="Y102" i="3" s="1"/>
  <c r="X102" i="3"/>
  <c r="X106" i="3"/>
  <c r="V106" i="3"/>
  <c r="X79" i="3"/>
  <c r="V79" i="3"/>
  <c r="Y79" i="3" s="1"/>
  <c r="V89" i="3"/>
  <c r="X89" i="3"/>
  <c r="V97" i="3"/>
  <c r="Y97" i="3" s="1"/>
  <c r="X97" i="3"/>
  <c r="X103" i="3"/>
  <c r="V103" i="3"/>
  <c r="Y103" i="3" s="1"/>
  <c r="V119" i="3"/>
  <c r="Y119" i="3" s="1"/>
  <c r="X119" i="3"/>
  <c r="V170" i="3"/>
  <c r="Y170" i="3" s="1"/>
  <c r="X170" i="3"/>
  <c r="V128" i="3"/>
  <c r="Y128" i="3" s="1"/>
  <c r="X128" i="3"/>
  <c r="X3" i="7"/>
  <c r="V3" i="7"/>
  <c r="Y3" i="7" s="1"/>
  <c r="V8" i="3"/>
  <c r="X8" i="3"/>
  <c r="V12" i="3"/>
  <c r="X12" i="3"/>
  <c r="V16" i="3"/>
  <c r="X16" i="3"/>
  <c r="X40" i="3"/>
  <c r="V40" i="3"/>
  <c r="Y40" i="3" s="1"/>
  <c r="X44" i="3"/>
  <c r="V44" i="3"/>
  <c r="V68" i="3"/>
  <c r="Y68" i="3" s="1"/>
  <c r="X68" i="3"/>
  <c r="X96" i="3"/>
  <c r="V96" i="3"/>
  <c r="X3" i="3"/>
  <c r="V3" i="3"/>
  <c r="Y3" i="3" s="1"/>
  <c r="X13" i="3"/>
  <c r="V13" i="3"/>
  <c r="Y13" i="3" s="1"/>
  <c r="V25" i="3"/>
  <c r="Y25" i="3" s="1"/>
  <c r="X25" i="3"/>
  <c r="X37" i="3"/>
  <c r="V37" i="3"/>
  <c r="Y37" i="3" s="1"/>
  <c r="X39" i="3"/>
  <c r="V39" i="3"/>
  <c r="X45" i="3"/>
  <c r="V45" i="3"/>
  <c r="Y45" i="3" s="1"/>
  <c r="V53" i="3"/>
  <c r="X53" i="3"/>
  <c r="V90" i="3"/>
  <c r="Y90" i="3" s="1"/>
  <c r="X90" i="3"/>
  <c r="V98" i="3"/>
  <c r="X98" i="3"/>
  <c r="V61" i="3"/>
  <c r="X61" i="3"/>
  <c r="X69" i="3"/>
  <c r="V69" i="3"/>
  <c r="Y69" i="3" s="1"/>
  <c r="V91" i="3"/>
  <c r="Y91" i="3" s="1"/>
  <c r="X91" i="3"/>
  <c r="X99" i="3"/>
  <c r="V99" i="3"/>
  <c r="Y99" i="3" s="1"/>
  <c r="X101" i="3"/>
  <c r="V101" i="3"/>
  <c r="V107" i="3"/>
  <c r="Y107" i="3" s="1"/>
  <c r="X107" i="3"/>
  <c r="V146" i="3"/>
  <c r="Y146" i="3" s="1"/>
  <c r="X146" i="3"/>
  <c r="X126" i="3"/>
  <c r="V126" i="3"/>
  <c r="V134" i="3"/>
  <c r="Y134" i="3" s="1"/>
  <c r="X134" i="3"/>
  <c r="X158" i="3"/>
  <c r="V158" i="3"/>
  <c r="Y158" i="3" s="1"/>
  <c r="X206" i="3"/>
  <c r="V206" i="3"/>
  <c r="Y206" i="3" s="1"/>
  <c r="X222" i="3"/>
  <c r="V222" i="3"/>
  <c r="X234" i="3"/>
  <c r="V234" i="3"/>
  <c r="V242" i="3"/>
  <c r="X242" i="3"/>
  <c r="X262" i="3"/>
  <c r="V262" i="3"/>
  <c r="X188" i="3"/>
  <c r="V188" i="3"/>
  <c r="Y188" i="3" s="1"/>
  <c r="X145" i="3"/>
  <c r="V145" i="3"/>
  <c r="X169" i="3"/>
  <c r="V169" i="3"/>
  <c r="X175" i="3"/>
  <c r="V175" i="3"/>
  <c r="V177" i="3"/>
  <c r="Y177" i="3" s="1"/>
  <c r="X177" i="3"/>
  <c r="V187" i="3"/>
  <c r="X187" i="3"/>
  <c r="X197" i="3"/>
  <c r="V197" i="3"/>
  <c r="Y197" i="3" s="1"/>
  <c r="V207" i="3"/>
  <c r="Y207" i="3" s="1"/>
  <c r="X207" i="3"/>
  <c r="V223" i="3"/>
  <c r="Y223" i="3" s="1"/>
  <c r="X223" i="3"/>
  <c r="X243" i="3"/>
  <c r="V243" i="3"/>
  <c r="Y243" i="3" s="1"/>
  <c r="V259" i="3"/>
  <c r="X259" i="3"/>
  <c r="X267" i="3"/>
  <c r="V267" i="3"/>
  <c r="X3" i="4"/>
  <c r="V3" i="4"/>
  <c r="Y3" i="4" s="1"/>
  <c r="X23" i="4"/>
  <c r="V23" i="4"/>
  <c r="Y23" i="4" s="1"/>
  <c r="X31" i="4"/>
  <c r="V31" i="4"/>
  <c r="Y31" i="4" s="1"/>
  <c r="X5" i="4"/>
  <c r="V5" i="4"/>
  <c r="Y5" i="4" s="1"/>
  <c r="V9" i="4"/>
  <c r="Y9" i="4" s="1"/>
  <c r="X9" i="4"/>
  <c r="X13" i="4"/>
  <c r="V13" i="4"/>
  <c r="Y13" i="4" s="1"/>
  <c r="X63" i="4"/>
  <c r="V63" i="4"/>
  <c r="X71" i="4"/>
  <c r="V71" i="4"/>
  <c r="Y71" i="4" s="1"/>
  <c r="V73" i="4"/>
  <c r="Y73" i="4" s="1"/>
  <c r="X73" i="4"/>
  <c r="X97" i="4"/>
  <c r="V97" i="4"/>
  <c r="V109" i="4"/>
  <c r="Y109" i="4" s="1"/>
  <c r="X109" i="4"/>
  <c r="X117" i="4"/>
  <c r="V117" i="4"/>
  <c r="Y117" i="4" s="1"/>
  <c r="X205" i="4"/>
  <c r="V205" i="4"/>
  <c r="X4" i="4"/>
  <c r="V4" i="4"/>
  <c r="V6" i="4"/>
  <c r="Y6" i="4" s="1"/>
  <c r="X6" i="4"/>
  <c r="X12" i="4"/>
  <c r="V12" i="4"/>
  <c r="X14" i="4"/>
  <c r="V14" i="4"/>
  <c r="Y14" i="4" s="1"/>
  <c r="X18" i="4"/>
  <c r="V18" i="4"/>
  <c r="Y18" i="4" s="1"/>
  <c r="X30" i="4"/>
  <c r="V30" i="4"/>
  <c r="V32" i="4"/>
  <c r="Y32" i="4" s="1"/>
  <c r="X32" i="4"/>
  <c r="V70" i="4"/>
  <c r="X70" i="4"/>
  <c r="V94" i="4"/>
  <c r="X94" i="4"/>
  <c r="X96" i="4"/>
  <c r="V96" i="4"/>
  <c r="Y96" i="4" s="1"/>
  <c r="X98" i="4"/>
  <c r="V98" i="4"/>
  <c r="Y98" i="4" s="1"/>
  <c r="X114" i="4"/>
  <c r="V114" i="4"/>
  <c r="V201" i="4"/>
  <c r="X201" i="4"/>
  <c r="X219" i="4"/>
  <c r="V219" i="4"/>
  <c r="Y219" i="4" s="1"/>
  <c r="V124" i="4"/>
  <c r="X124" i="4"/>
  <c r="X125" i="4"/>
  <c r="V125" i="4"/>
  <c r="Y125" i="4" s="1"/>
  <c r="X126" i="4"/>
  <c r="V126" i="4"/>
  <c r="Y126" i="4" s="1"/>
  <c r="X139" i="4"/>
  <c r="V139" i="4"/>
  <c r="V140" i="4"/>
  <c r="Y140" i="4" s="1"/>
  <c r="X140" i="4"/>
  <c r="V146" i="4"/>
  <c r="X146" i="4"/>
  <c r="X147" i="4"/>
  <c r="V147" i="4"/>
  <c r="Y147" i="4" s="1"/>
  <c r="X159" i="4"/>
  <c r="V159" i="4"/>
  <c r="X160" i="4"/>
  <c r="V160" i="4"/>
  <c r="Y160" i="4" s="1"/>
  <c r="V165" i="4"/>
  <c r="X165" i="4"/>
  <c r="V166" i="4"/>
  <c r="Y166" i="4" s="1"/>
  <c r="X166" i="4"/>
  <c r="X167" i="4"/>
  <c r="V167" i="4"/>
  <c r="Y167" i="4" s="1"/>
  <c r="X168" i="4"/>
  <c r="V168" i="4"/>
  <c r="Y168" i="4" s="1"/>
  <c r="X169" i="4"/>
  <c r="V169" i="4"/>
  <c r="Y169" i="4" s="1"/>
  <c r="V170" i="4"/>
  <c r="Y170" i="4" s="1"/>
  <c r="X170" i="4"/>
  <c r="V171" i="4"/>
  <c r="Y171" i="4" s="1"/>
  <c r="X171" i="4"/>
  <c r="V172" i="4"/>
  <c r="Y172" i="4" s="1"/>
  <c r="X172" i="4"/>
  <c r="V173" i="4"/>
  <c r="Y173" i="4" s="1"/>
  <c r="X173" i="4"/>
  <c r="V174" i="4"/>
  <c r="Y174" i="4" s="1"/>
  <c r="X174" i="4"/>
  <c r="V175" i="4"/>
  <c r="Y175" i="4" s="1"/>
  <c r="X175" i="4"/>
  <c r="V187" i="4"/>
  <c r="X187" i="4"/>
  <c r="V188" i="4"/>
  <c r="Y188" i="4" s="1"/>
  <c r="X188" i="4"/>
  <c r="X189" i="4"/>
  <c r="V189" i="4"/>
  <c r="Y189" i="4" s="1"/>
  <c r="X190" i="4"/>
  <c r="V190" i="4"/>
  <c r="Y190" i="4" s="1"/>
  <c r="X191" i="4"/>
  <c r="V191" i="4"/>
  <c r="Y191" i="4" s="1"/>
  <c r="X192" i="4"/>
  <c r="V192" i="4"/>
  <c r="Y192" i="4" s="1"/>
  <c r="V193" i="4"/>
  <c r="Y193" i="4" s="1"/>
  <c r="X193" i="4"/>
  <c r="X194" i="4"/>
  <c r="V194" i="4"/>
  <c r="Y194" i="4" s="1"/>
  <c r="V199" i="4"/>
  <c r="Y199" i="4" s="1"/>
  <c r="X199" i="4"/>
  <c r="V218" i="4"/>
  <c r="X218" i="4"/>
  <c r="X220" i="4"/>
  <c r="V220" i="4"/>
  <c r="Y220" i="4" s="1"/>
  <c r="X3" i="5"/>
  <c r="V3" i="5"/>
  <c r="Y3" i="5" s="1"/>
  <c r="V20" i="5"/>
  <c r="X20" i="5"/>
  <c r="V14" i="5"/>
  <c r="Y14" i="5" s="1"/>
  <c r="X14" i="5"/>
  <c r="V21" i="5"/>
  <c r="X21" i="5"/>
  <c r="X23" i="5"/>
  <c r="V23" i="5"/>
  <c r="X3" i="6"/>
  <c r="V3" i="6"/>
  <c r="Y3" i="6" s="1"/>
  <c r="V7" i="6"/>
  <c r="X7" i="6"/>
  <c r="X8" i="6"/>
  <c r="V8" i="6"/>
  <c r="Y8" i="6" s="1"/>
  <c r="V12" i="6"/>
  <c r="X12" i="6"/>
  <c r="X18" i="6"/>
  <c r="V18" i="6"/>
  <c r="Y18" i="6" s="1"/>
  <c r="V4" i="3"/>
  <c r="Y4" i="3" s="1"/>
  <c r="X4" i="3"/>
  <c r="X14" i="3"/>
  <c r="V14" i="3"/>
  <c r="Y14" i="3" s="1"/>
  <c r="X26" i="3"/>
  <c r="V26" i="3"/>
  <c r="Y26" i="3" s="1"/>
  <c r="X38" i="3"/>
  <c r="V38" i="3"/>
  <c r="Y38" i="3" s="1"/>
  <c r="V46" i="3"/>
  <c r="Y46" i="3" s="1"/>
  <c r="X46" i="3"/>
  <c r="X64" i="3"/>
  <c r="V64" i="3"/>
  <c r="Y64" i="3" s="1"/>
  <c r="X80" i="3"/>
  <c r="V80" i="3"/>
  <c r="Y80" i="3" s="1"/>
  <c r="X100" i="3"/>
  <c r="V100" i="3"/>
  <c r="Y100" i="3" s="1"/>
  <c r="X108" i="3"/>
  <c r="V108" i="3"/>
  <c r="Y108" i="3" s="1"/>
  <c r="X129" i="3"/>
  <c r="V129" i="3"/>
  <c r="Y129" i="3" s="1"/>
  <c r="V148" i="3"/>
  <c r="Y148" i="3" s="1"/>
  <c r="X148" i="3"/>
  <c r="X172" i="3"/>
  <c r="V172" i="3"/>
  <c r="Y172" i="3" s="1"/>
  <c r="V190" i="3"/>
  <c r="Y190" i="3" s="1"/>
  <c r="X190" i="3"/>
  <c r="V202" i="3"/>
  <c r="Y202" i="3" s="1"/>
  <c r="X202" i="3"/>
  <c r="X214" i="3"/>
  <c r="V214" i="3"/>
  <c r="Y214" i="3" s="1"/>
  <c r="V236" i="3"/>
  <c r="Y236" i="3" s="1"/>
  <c r="X236" i="3"/>
  <c r="X250" i="3"/>
  <c r="V250" i="3"/>
  <c r="Y250" i="3" s="1"/>
  <c r="V7" i="4"/>
  <c r="Y7" i="4" s="1"/>
  <c r="X7" i="4"/>
  <c r="V11" i="4"/>
  <c r="Y11" i="4" s="1"/>
  <c r="X11" i="4"/>
  <c r="V15" i="4"/>
  <c r="Y15" i="4" s="1"/>
  <c r="X15" i="4"/>
  <c r="X19" i="4"/>
  <c r="V19" i="4"/>
  <c r="Y19" i="4" s="1"/>
  <c r="V43" i="4"/>
  <c r="Y43" i="4" s="1"/>
  <c r="X43" i="4"/>
  <c r="V49" i="4"/>
  <c r="Y49" i="4" s="1"/>
  <c r="X49" i="4"/>
  <c r="V57" i="4"/>
  <c r="Y57" i="4" s="1"/>
  <c r="X57" i="4"/>
  <c r="X65" i="4"/>
  <c r="V65" i="4"/>
  <c r="Y65" i="4" s="1"/>
  <c r="X75" i="4"/>
  <c r="V75" i="4"/>
  <c r="Y75" i="4" s="1"/>
  <c r="V99" i="4"/>
  <c r="Y99" i="4" s="1"/>
  <c r="X99" i="4"/>
  <c r="X111" i="4"/>
  <c r="V111" i="4"/>
  <c r="Y111" i="4" s="1"/>
  <c r="V119" i="4"/>
  <c r="Y119" i="4" s="1"/>
  <c r="X119" i="4"/>
  <c r="V203" i="4"/>
  <c r="Y203" i="4" s="1"/>
  <c r="X203" i="4"/>
  <c r="X221" i="4"/>
  <c r="V221" i="4"/>
  <c r="Y221" i="4" s="1"/>
  <c r="X15" i="5"/>
  <c r="V15" i="5"/>
  <c r="Y15" i="5" s="1"/>
  <c r="X9" i="6"/>
  <c r="V9" i="6"/>
  <c r="Y9" i="6" s="1"/>
  <c r="V11" i="3"/>
  <c r="Y11" i="3" s="1"/>
  <c r="X11" i="3"/>
  <c r="V19" i="3"/>
  <c r="Y19" i="3" s="1"/>
  <c r="X19" i="3"/>
  <c r="V31" i="3"/>
  <c r="Y31" i="3" s="1"/>
  <c r="X31" i="3"/>
  <c r="V47" i="3"/>
  <c r="Y47" i="3" s="1"/>
  <c r="X47" i="3"/>
  <c r="X65" i="3"/>
  <c r="V65" i="3"/>
  <c r="Y65" i="3" s="1"/>
  <c r="V81" i="3"/>
  <c r="Y81" i="3" s="1"/>
  <c r="X81" i="3"/>
  <c r="V105" i="3"/>
  <c r="Y105" i="3" s="1"/>
  <c r="X105" i="3"/>
  <c r="V121" i="3"/>
  <c r="Y121" i="3" s="1"/>
  <c r="X121" i="3"/>
  <c r="V136" i="3"/>
  <c r="Y136" i="3" s="1"/>
  <c r="X136" i="3"/>
  <c r="X161" i="3"/>
  <c r="V161" i="3"/>
  <c r="Y161" i="3" s="1"/>
  <c r="X191" i="3"/>
  <c r="V191" i="3"/>
  <c r="Y191" i="3" s="1"/>
  <c r="X203" i="3"/>
  <c r="V203" i="3"/>
  <c r="Y203" i="3" s="1"/>
  <c r="V215" i="3"/>
  <c r="Y215" i="3" s="1"/>
  <c r="X215" i="3"/>
  <c r="X237" i="3"/>
  <c r="V237" i="3"/>
  <c r="Y237" i="3" s="1"/>
  <c r="X10" i="6"/>
  <c r="V10" i="6"/>
  <c r="Y10" i="6" s="1"/>
  <c r="V20" i="3"/>
  <c r="Y20" i="3" s="1"/>
  <c r="X20" i="3"/>
  <c r="V48" i="3"/>
  <c r="Y48" i="3" s="1"/>
  <c r="X48" i="3"/>
  <c r="X66" i="3"/>
  <c r="V66" i="3"/>
  <c r="Y66" i="3" s="1"/>
  <c r="V82" i="3"/>
  <c r="Y82" i="3" s="1"/>
  <c r="X82" i="3"/>
  <c r="X110" i="3"/>
  <c r="V110" i="3"/>
  <c r="Y110" i="3" s="1"/>
  <c r="X131" i="3"/>
  <c r="V131" i="3"/>
  <c r="Y131" i="3" s="1"/>
  <c r="X150" i="3"/>
  <c r="V150" i="3"/>
  <c r="Y150" i="3" s="1"/>
  <c r="X180" i="3"/>
  <c r="V180" i="3"/>
  <c r="Y180" i="3" s="1"/>
  <c r="V204" i="3"/>
  <c r="Y204" i="3" s="1"/>
  <c r="X204" i="3"/>
  <c r="X216" i="3"/>
  <c r="V216" i="3"/>
  <c r="Y216" i="3" s="1"/>
  <c r="X238" i="3"/>
  <c r="V238" i="3"/>
  <c r="Y238" i="3" s="1"/>
  <c r="V252" i="3"/>
  <c r="Y252" i="3" s="1"/>
  <c r="X252" i="3"/>
  <c r="X27" i="4"/>
  <c r="V27" i="4"/>
  <c r="Y27" i="4" s="1"/>
  <c r="V35" i="4"/>
  <c r="Y35" i="4" s="1"/>
  <c r="X35" i="4"/>
  <c r="X87" i="4"/>
  <c r="V87" i="4"/>
  <c r="Y87" i="4" s="1"/>
  <c r="V121" i="4"/>
  <c r="Y121" i="4" s="1"/>
  <c r="X121" i="4"/>
  <c r="V209" i="4"/>
  <c r="Y209" i="4" s="1"/>
  <c r="X209" i="4"/>
  <c r="V217" i="4"/>
  <c r="Y217" i="4" s="1"/>
  <c r="X217" i="4"/>
  <c r="X17" i="5"/>
  <c r="V17" i="5"/>
  <c r="Y17" i="5" s="1"/>
  <c r="X21" i="3"/>
  <c r="V21" i="3"/>
  <c r="Y21" i="3" s="1"/>
  <c r="X49" i="3"/>
  <c r="V49" i="3"/>
  <c r="Y49" i="3" s="1"/>
  <c r="X73" i="3"/>
  <c r="V73" i="3"/>
  <c r="Y73" i="3" s="1"/>
  <c r="V95" i="3"/>
  <c r="Y95" i="3" s="1"/>
  <c r="X95" i="3"/>
  <c r="X123" i="3"/>
  <c r="V123" i="3"/>
  <c r="Y123" i="3" s="1"/>
  <c r="X138" i="3"/>
  <c r="V138" i="3"/>
  <c r="Y138" i="3" s="1"/>
  <c r="X151" i="3"/>
  <c r="V151" i="3"/>
  <c r="Y151" i="3" s="1"/>
  <c r="V163" i="3"/>
  <c r="Y163" i="3" s="1"/>
  <c r="X163" i="3"/>
  <c r="V193" i="3"/>
  <c r="Y193" i="3" s="1"/>
  <c r="X193" i="3"/>
  <c r="V217" i="3"/>
  <c r="Y217" i="3" s="1"/>
  <c r="X217" i="3"/>
  <c r="X239" i="3"/>
  <c r="V239" i="3"/>
  <c r="Y239" i="3" s="1"/>
  <c r="V253" i="3"/>
  <c r="Y253" i="3" s="1"/>
  <c r="X253" i="3"/>
  <c r="V8" i="5"/>
  <c r="Y8" i="5" s="1"/>
  <c r="X8" i="5"/>
  <c r="V22" i="3"/>
  <c r="Y22" i="3" s="1"/>
  <c r="X22" i="3"/>
  <c r="X50" i="3"/>
  <c r="V50" i="3"/>
  <c r="Y50" i="3" s="1"/>
  <c r="V74" i="3"/>
  <c r="Y74" i="3" s="1"/>
  <c r="X74" i="3"/>
  <c r="V112" i="3"/>
  <c r="Y112" i="3" s="1"/>
  <c r="X112" i="3"/>
  <c r="V164" i="3"/>
  <c r="Y164" i="3" s="1"/>
  <c r="X164" i="3"/>
  <c r="V194" i="3"/>
  <c r="Y194" i="3" s="1"/>
  <c r="X194" i="3"/>
  <c r="X228" i="3"/>
  <c r="V228" i="3"/>
  <c r="Y228" i="3" s="1"/>
  <c r="V254" i="3"/>
  <c r="Y254" i="3" s="1"/>
  <c r="X254" i="3"/>
  <c r="V53" i="4"/>
  <c r="Y53" i="4" s="1"/>
  <c r="X53" i="4"/>
  <c r="X61" i="4"/>
  <c r="V61" i="4"/>
  <c r="Y61" i="4" s="1"/>
  <c r="V69" i="4"/>
  <c r="Y69" i="4" s="1"/>
  <c r="X69" i="4"/>
  <c r="X79" i="4"/>
  <c r="V79" i="4"/>
  <c r="Y79" i="4" s="1"/>
  <c r="X103" i="4"/>
  <c r="V103" i="4"/>
  <c r="Y103" i="4" s="1"/>
  <c r="X211" i="4"/>
  <c r="V211" i="4"/>
  <c r="Y211" i="4" s="1"/>
  <c r="V35" i="3"/>
  <c r="Y35" i="3" s="1"/>
  <c r="X35" i="3"/>
  <c r="X75" i="3"/>
  <c r="V75" i="3"/>
  <c r="Y75" i="3" s="1"/>
  <c r="X113" i="3"/>
  <c r="V113" i="3"/>
  <c r="Y113" i="3" s="1"/>
  <c r="V125" i="3"/>
  <c r="Y125" i="3" s="1"/>
  <c r="X125" i="3"/>
  <c r="V165" i="3"/>
  <c r="Y165" i="3" s="1"/>
  <c r="X165" i="3"/>
  <c r="V183" i="3"/>
  <c r="Y183" i="3" s="1"/>
  <c r="X183" i="3"/>
  <c r="X219" i="3"/>
  <c r="V219" i="3"/>
  <c r="Y219" i="3" s="1"/>
  <c r="X241" i="3"/>
  <c r="V241" i="3"/>
  <c r="Y241" i="3" s="1"/>
  <c r="V76" i="3"/>
  <c r="Y76" i="3" s="1"/>
  <c r="X76" i="3"/>
  <c r="X114" i="3"/>
  <c r="V114" i="3"/>
  <c r="Y114" i="3" s="1"/>
  <c r="X141" i="3"/>
  <c r="V141" i="3"/>
  <c r="Y141" i="3" s="1"/>
  <c r="V154" i="3"/>
  <c r="Y154" i="3" s="1"/>
  <c r="X154" i="3"/>
  <c r="X184" i="3"/>
  <c r="V184" i="3"/>
  <c r="Y184" i="3" s="1"/>
  <c r="X230" i="3"/>
  <c r="V230" i="3"/>
  <c r="Y230" i="3" s="1"/>
  <c r="X39" i="4"/>
  <c r="V39" i="4"/>
  <c r="Y39" i="4" s="1"/>
  <c r="X91" i="4"/>
  <c r="V91" i="4"/>
  <c r="Y91" i="4" s="1"/>
  <c r="X87" i="3"/>
  <c r="V87" i="3"/>
  <c r="Y87" i="3" s="1"/>
  <c r="X221" i="3"/>
  <c r="V221" i="3"/>
  <c r="Y221" i="3" s="1"/>
  <c r="X92" i="4"/>
  <c r="V92" i="4"/>
  <c r="Y92" i="4" s="1"/>
  <c r="X106" i="4"/>
  <c r="V106" i="4"/>
  <c r="Y106" i="4" s="1"/>
  <c r="V116" i="3"/>
  <c r="Y116" i="3" s="1"/>
  <c r="X116" i="3"/>
  <c r="V156" i="3"/>
  <c r="Y156" i="3" s="1"/>
  <c r="X156" i="3"/>
  <c r="V186" i="3"/>
  <c r="Y186" i="3" s="1"/>
  <c r="X186" i="3"/>
  <c r="V93" i="4"/>
  <c r="Y93" i="4" s="1"/>
  <c r="X93" i="4"/>
  <c r="S230" i="3" l="1"/>
  <c r="S114" i="3"/>
  <c r="S76" i="3"/>
  <c r="R241" i="3"/>
  <c r="R183" i="3"/>
  <c r="R75" i="3"/>
  <c r="R35" i="3"/>
  <c r="R69" i="4"/>
  <c r="R61" i="4"/>
  <c r="S74" i="3"/>
  <c r="S50" i="3"/>
  <c r="S239" i="3"/>
  <c r="S163" i="3"/>
  <c r="R151" i="3"/>
  <c r="R123" i="3"/>
  <c r="S73" i="3"/>
  <c r="R21" i="3"/>
  <c r="R217" i="4"/>
  <c r="S216" i="3"/>
  <c r="S180" i="3"/>
  <c r="S131" i="3"/>
  <c r="S48" i="3"/>
  <c r="S20" i="3"/>
  <c r="R10" i="6"/>
  <c r="S191" i="3"/>
  <c r="R136" i="3"/>
  <c r="S121" i="3"/>
  <c r="S81" i="3"/>
  <c r="S65" i="3"/>
  <c r="R47" i="3"/>
  <c r="R31" i="3"/>
  <c r="R11" i="3"/>
  <c r="R15" i="5"/>
  <c r="R111" i="4"/>
  <c r="R99" i="4"/>
  <c r="R75" i="4"/>
  <c r="R57" i="4"/>
  <c r="R15" i="4"/>
  <c r="R11" i="4"/>
  <c r="R7" i="4"/>
  <c r="S202" i="3"/>
  <c r="S148" i="3"/>
  <c r="S129" i="3"/>
  <c r="S64" i="3"/>
  <c r="S46" i="3"/>
  <c r="S14" i="3"/>
  <c r="R18" i="6"/>
  <c r="S8" i="6"/>
  <c r="S3" i="6"/>
  <c r="R220" i="4"/>
  <c r="S193" i="4"/>
  <c r="R191" i="4"/>
  <c r="S189" i="4"/>
  <c r="S188" i="4"/>
  <c r="R171" i="4"/>
  <c r="S168" i="4"/>
  <c r="S166" i="4"/>
  <c r="R147" i="4"/>
  <c r="R98" i="4"/>
  <c r="R18" i="4"/>
  <c r="R6" i="4"/>
  <c r="S109" i="4"/>
  <c r="S13" i="4"/>
  <c r="S5" i="4"/>
  <c r="S23" i="4"/>
  <c r="R243" i="3"/>
  <c r="R223" i="3"/>
  <c r="S177" i="3"/>
  <c r="R206" i="3"/>
  <c r="S146" i="3"/>
  <c r="R107" i="3"/>
  <c r="R90" i="3"/>
  <c r="S45" i="3"/>
  <c r="R37" i="3"/>
  <c r="S25" i="3"/>
  <c r="R13" i="3"/>
  <c r="S68" i="3"/>
  <c r="S40" i="3"/>
  <c r="S128" i="3"/>
  <c r="S79" i="3"/>
  <c r="R54" i="3"/>
  <c r="R24" i="3"/>
  <c r="R168" i="3"/>
  <c r="R88" i="3"/>
  <c r="R167" i="3"/>
  <c r="S155" i="3"/>
  <c r="S115" i="3"/>
  <c r="R11" i="5"/>
  <c r="S105" i="4"/>
  <c r="R220" i="3"/>
  <c r="R86" i="3"/>
  <c r="S104" i="4"/>
  <c r="S229" i="3"/>
  <c r="S153" i="3"/>
  <c r="R140" i="3"/>
  <c r="R9" i="5"/>
  <c r="S37" i="4"/>
  <c r="R240" i="3"/>
  <c r="R182" i="3"/>
  <c r="R152" i="3"/>
  <c r="S139" i="3"/>
  <c r="R124" i="3"/>
  <c r="R34" i="3"/>
  <c r="S210" i="4"/>
  <c r="R52" i="4"/>
  <c r="S181" i="3"/>
  <c r="S83" i="3"/>
  <c r="S33" i="3"/>
  <c r="S77" i="4"/>
  <c r="S67" i="4"/>
  <c r="S59" i="4"/>
  <c r="S45" i="4"/>
  <c r="R210" i="3"/>
  <c r="R162" i="3"/>
  <c r="R72" i="3"/>
  <c r="R32" i="3"/>
  <c r="R216" i="4"/>
  <c r="R204" i="4"/>
  <c r="S112" i="4"/>
  <c r="S100" i="4"/>
  <c r="R86" i="4"/>
  <c r="R34" i="4"/>
  <c r="S20" i="4"/>
  <c r="S225" i="3"/>
  <c r="S149" i="3"/>
  <c r="S109" i="3"/>
  <c r="S71" i="3"/>
  <c r="R5" i="5"/>
  <c r="S207" i="4"/>
  <c r="R244" i="3"/>
  <c r="R208" i="3"/>
  <c r="R178" i="3"/>
  <c r="R135" i="3"/>
  <c r="R104" i="3"/>
  <c r="R92" i="3"/>
  <c r="R42" i="3"/>
  <c r="R18" i="3"/>
  <c r="S14" i="6"/>
  <c r="R13" i="6"/>
  <c r="R13" i="5"/>
  <c r="S214" i="4"/>
  <c r="R197" i="4"/>
  <c r="R185" i="4"/>
  <c r="R183" i="4"/>
  <c r="R182" i="4"/>
  <c r="R181" i="4"/>
  <c r="R179" i="4"/>
  <c r="R178" i="4"/>
  <c r="R162" i="4"/>
  <c r="R154" i="4"/>
  <c r="R152" i="4"/>
  <c r="R150" i="4"/>
  <c r="R149" i="4"/>
  <c r="R145" i="4"/>
  <c r="R144" i="4"/>
  <c r="R142" i="4"/>
  <c r="R138" i="4"/>
  <c r="R137" i="4"/>
  <c r="R136" i="4"/>
  <c r="R135" i="4"/>
  <c r="R134" i="4"/>
  <c r="R133" i="4"/>
  <c r="R132" i="4"/>
  <c r="R130" i="4"/>
  <c r="R118" i="4"/>
  <c r="R110" i="4"/>
  <c r="R74" i="4"/>
  <c r="R64" i="4"/>
  <c r="R56" i="4"/>
  <c r="S24" i="4"/>
  <c r="R10" i="4"/>
  <c r="S95" i="4"/>
  <c r="S249" i="3"/>
  <c r="S235" i="3"/>
  <c r="S201" i="3"/>
  <c r="R171" i="3"/>
  <c r="S159" i="3"/>
  <c r="R196" i="3"/>
  <c r="R176" i="3"/>
  <c r="R63" i="3"/>
  <c r="S62" i="3"/>
  <c r="R9" i="3"/>
  <c r="S116" i="3"/>
  <c r="R106" i="4"/>
  <c r="R221" i="3"/>
  <c r="R91" i="4"/>
  <c r="R211" i="4"/>
  <c r="R79" i="4"/>
  <c r="R93" i="4"/>
  <c r="S92" i="4"/>
  <c r="R87" i="3"/>
  <c r="R39" i="4"/>
  <c r="S184" i="3"/>
  <c r="S154" i="3"/>
  <c r="R141" i="3"/>
  <c r="S219" i="3"/>
  <c r="R165" i="3"/>
  <c r="S113" i="3"/>
  <c r="R103" i="4"/>
  <c r="R53" i="4"/>
  <c r="S228" i="3"/>
  <c r="R164" i="3"/>
  <c r="R112" i="3"/>
  <c r="R22" i="3"/>
  <c r="S8" i="5"/>
  <c r="S253" i="3"/>
  <c r="S217" i="3"/>
  <c r="S193" i="3"/>
  <c r="R138" i="3"/>
  <c r="R95" i="3"/>
  <c r="S49" i="3"/>
  <c r="R17" i="5"/>
  <c r="S209" i="4"/>
  <c r="R121" i="4"/>
  <c r="S87" i="4"/>
  <c r="S35" i="4"/>
  <c r="R27" i="4"/>
  <c r="S252" i="3"/>
  <c r="R238" i="3"/>
  <c r="R204" i="3"/>
  <c r="R150" i="3"/>
  <c r="S110" i="3"/>
  <c r="S82" i="3"/>
  <c r="R237" i="3"/>
  <c r="S215" i="3"/>
  <c r="R203" i="3"/>
  <c r="S161" i="3"/>
  <c r="R19" i="3"/>
  <c r="S9" i="6"/>
  <c r="R221" i="4"/>
  <c r="R203" i="4"/>
  <c r="R119" i="4"/>
  <c r="R65" i="4"/>
  <c r="S49" i="4"/>
  <c r="S43" i="4"/>
  <c r="S19" i="4"/>
  <c r="R250" i="3"/>
  <c r="S236" i="3"/>
  <c r="S214" i="3"/>
  <c r="R190" i="3"/>
  <c r="S108" i="3"/>
  <c r="S80" i="3"/>
  <c r="S26" i="3"/>
  <c r="R4" i="3"/>
  <c r="S14" i="5"/>
  <c r="S3" i="5"/>
  <c r="S199" i="4"/>
  <c r="S192" i="4"/>
  <c r="R190" i="4"/>
  <c r="R175" i="4"/>
  <c r="S174" i="4"/>
  <c r="S173" i="4"/>
  <c r="S172" i="4"/>
  <c r="S170" i="4"/>
  <c r="R169" i="4"/>
  <c r="S167" i="4"/>
  <c r="R140" i="4"/>
  <c r="R125" i="4"/>
  <c r="S219" i="4"/>
  <c r="R96" i="4"/>
  <c r="R32" i="4"/>
  <c r="R14" i="4"/>
  <c r="R117" i="4"/>
  <c r="R73" i="4"/>
  <c r="S9" i="4"/>
  <c r="R31" i="4"/>
  <c r="S207" i="3"/>
  <c r="S197" i="3"/>
  <c r="S188" i="3"/>
  <c r="R158" i="3"/>
  <c r="R134" i="3"/>
  <c r="S99" i="3"/>
  <c r="S91" i="3"/>
  <c r="R69" i="3"/>
  <c r="S3" i="3"/>
  <c r="R170" i="3"/>
  <c r="S119" i="3"/>
  <c r="R103" i="3"/>
  <c r="R102" i="3"/>
  <c r="S55" i="3"/>
  <c r="S29" i="3"/>
  <c r="R17" i="3"/>
  <c r="R144" i="3"/>
  <c r="R232" i="3"/>
  <c r="S143" i="3"/>
  <c r="S231" i="3"/>
  <c r="S185" i="3"/>
  <c r="S142" i="3"/>
  <c r="R166" i="3"/>
  <c r="R10" i="5"/>
  <c r="S90" i="4"/>
  <c r="R38" i="4"/>
  <c r="S85" i="3"/>
  <c r="S51" i="3"/>
  <c r="S89" i="4"/>
  <c r="R218" i="3"/>
  <c r="R84" i="3"/>
  <c r="R60" i="3"/>
  <c r="R18" i="5"/>
  <c r="R102" i="4"/>
  <c r="S88" i="4"/>
  <c r="R78" i="4"/>
  <c r="R68" i="4"/>
  <c r="R60" i="4"/>
  <c r="R46" i="4"/>
  <c r="S36" i="4"/>
  <c r="S28" i="4"/>
  <c r="R227" i="3"/>
  <c r="R111" i="3"/>
  <c r="R59" i="3"/>
  <c r="R11" i="6"/>
  <c r="S7" i="5"/>
  <c r="R113" i="4"/>
  <c r="R101" i="4"/>
  <c r="S51" i="4"/>
  <c r="S246" i="3"/>
  <c r="S226" i="3"/>
  <c r="S192" i="3"/>
  <c r="R137" i="3"/>
  <c r="R122" i="3"/>
  <c r="S94" i="3"/>
  <c r="S58" i="3"/>
  <c r="S6" i="3"/>
  <c r="R16" i="5"/>
  <c r="S6" i="5"/>
  <c r="S208" i="4"/>
  <c r="R120" i="4"/>
  <c r="R76" i="4"/>
  <c r="R66" i="4"/>
  <c r="R58" i="4"/>
  <c r="R50" i="4"/>
  <c r="S44" i="4"/>
  <c r="S26" i="4"/>
  <c r="R251" i="3"/>
  <c r="S245" i="3"/>
  <c r="R209" i="3"/>
  <c r="R179" i="3"/>
  <c r="R130" i="3"/>
  <c r="S93" i="3"/>
  <c r="R57" i="3"/>
  <c r="S5" i="3"/>
  <c r="R15" i="6"/>
  <c r="R5" i="6"/>
  <c r="S215" i="4"/>
  <c r="S85" i="4"/>
  <c r="S33" i="4"/>
  <c r="S25" i="4"/>
  <c r="R224" i="3"/>
  <c r="R198" i="3"/>
  <c r="S160" i="3"/>
  <c r="R120" i="3"/>
  <c r="R70" i="3"/>
  <c r="S56" i="3"/>
  <c r="S30" i="3"/>
  <c r="R10" i="3"/>
  <c r="S4" i="6"/>
  <c r="R4" i="5"/>
  <c r="R224" i="4"/>
  <c r="S206" i="4"/>
  <c r="S202" i="4"/>
  <c r="R200" i="4"/>
  <c r="R198" i="4"/>
  <c r="R196" i="4"/>
  <c r="R184" i="4"/>
  <c r="R180" i="4"/>
  <c r="S177" i="4"/>
  <c r="R163" i="4"/>
  <c r="R158" i="4"/>
  <c r="S157" i="4"/>
  <c r="S156" i="4"/>
  <c r="S153" i="4"/>
  <c r="S143" i="4"/>
  <c r="R82" i="4"/>
  <c r="S48" i="4"/>
  <c r="S41" i="4"/>
  <c r="S189" i="3"/>
  <c r="R127" i="3"/>
  <c r="R230" i="3"/>
  <c r="R114" i="3"/>
  <c r="R76" i="3"/>
  <c r="S241" i="3"/>
  <c r="S183" i="3"/>
  <c r="S75" i="3"/>
  <c r="S35" i="3"/>
  <c r="S69" i="4"/>
  <c r="S61" i="4"/>
  <c r="R194" i="3"/>
  <c r="S194" i="3" s="1"/>
  <c r="R74" i="3"/>
  <c r="R50" i="3"/>
  <c r="R239" i="3"/>
  <c r="R163" i="3"/>
  <c r="S151" i="3"/>
  <c r="S123" i="3"/>
  <c r="R73" i="3"/>
  <c r="S21" i="3"/>
  <c r="S217" i="4"/>
  <c r="R216" i="3"/>
  <c r="R180" i="3"/>
  <c r="R131" i="3"/>
  <c r="R48" i="3"/>
  <c r="R20" i="3"/>
  <c r="S10" i="6"/>
  <c r="R191" i="3"/>
  <c r="S136" i="3"/>
  <c r="R121" i="3"/>
  <c r="R81" i="3"/>
  <c r="R65" i="3"/>
  <c r="S47" i="3"/>
  <c r="S31" i="3"/>
  <c r="S11" i="3"/>
  <c r="S15" i="5"/>
  <c r="S111" i="4"/>
  <c r="S99" i="4"/>
  <c r="S75" i="4"/>
  <c r="S57" i="4"/>
  <c r="S15" i="4"/>
  <c r="S11" i="4"/>
  <c r="S7" i="4"/>
  <c r="R202" i="3"/>
  <c r="R172" i="3"/>
  <c r="S172" i="3" s="1"/>
  <c r="R148" i="3"/>
  <c r="R129" i="3"/>
  <c r="R100" i="3"/>
  <c r="S100" i="3" s="1"/>
  <c r="R64" i="3"/>
  <c r="R46" i="3"/>
  <c r="R38" i="3"/>
  <c r="S38" i="3" s="1"/>
  <c r="R14" i="3"/>
  <c r="S18" i="6"/>
  <c r="R8" i="6"/>
  <c r="R3" i="6"/>
  <c r="S220" i="4"/>
  <c r="R193" i="4"/>
  <c r="S191" i="4"/>
  <c r="R189" i="4"/>
  <c r="R188" i="4"/>
  <c r="S171" i="4"/>
  <c r="R168" i="4"/>
  <c r="R166" i="4"/>
  <c r="R160" i="4"/>
  <c r="S160" i="4" s="1"/>
  <c r="S147" i="4"/>
  <c r="R126" i="4"/>
  <c r="S126" i="4" s="1"/>
  <c r="S98" i="4"/>
  <c r="S18" i="4"/>
  <c r="S6" i="4"/>
  <c r="R109" i="4"/>
  <c r="R71" i="4"/>
  <c r="S71" i="4" s="1"/>
  <c r="R13" i="4"/>
  <c r="R5" i="4"/>
  <c r="R23" i="4"/>
  <c r="S243" i="3"/>
  <c r="S223" i="3"/>
  <c r="R177" i="3"/>
  <c r="S206" i="3"/>
  <c r="R146" i="3"/>
  <c r="S107" i="3"/>
  <c r="S90" i="3"/>
  <c r="R45" i="3"/>
  <c r="S37" i="3"/>
  <c r="R25" i="3"/>
  <c r="S13" i="3"/>
  <c r="R68" i="3"/>
  <c r="R40" i="3"/>
  <c r="R128" i="3"/>
  <c r="R97" i="3"/>
  <c r="S97" i="3" s="1"/>
  <c r="R79" i="3"/>
  <c r="S54" i="3"/>
  <c r="S24" i="3"/>
  <c r="R117" i="3"/>
  <c r="S117" i="3" s="1"/>
  <c r="R107" i="4"/>
  <c r="S107" i="4" s="1"/>
  <c r="S168" i="3"/>
  <c r="S88" i="3"/>
  <c r="S167" i="3"/>
  <c r="R155" i="3"/>
  <c r="R115" i="3"/>
  <c r="S11" i="5"/>
  <c r="R105" i="4"/>
  <c r="S220" i="3"/>
  <c r="S86" i="3"/>
  <c r="R104" i="4"/>
  <c r="R80" i="4"/>
  <c r="S80" i="4" s="1"/>
  <c r="R62" i="4"/>
  <c r="S62" i="4" s="1"/>
  <c r="R54" i="4"/>
  <c r="S54" i="4" s="1"/>
  <c r="R229" i="3"/>
  <c r="R153" i="3"/>
  <c r="S140" i="3"/>
  <c r="S9" i="5"/>
  <c r="R37" i="4"/>
  <c r="S240" i="3"/>
  <c r="S182" i="3"/>
  <c r="S152" i="3"/>
  <c r="R139" i="3"/>
  <c r="S124" i="3"/>
  <c r="S34" i="3"/>
  <c r="R210" i="4"/>
  <c r="S52" i="4"/>
  <c r="R211" i="3"/>
  <c r="S211" i="3" s="1"/>
  <c r="R181" i="3"/>
  <c r="R132" i="3"/>
  <c r="S132" i="3" s="1"/>
  <c r="R83" i="3"/>
  <c r="R33" i="3"/>
  <c r="R7" i="3"/>
  <c r="S7" i="3" s="1"/>
  <c r="R77" i="4"/>
  <c r="R67" i="4"/>
  <c r="R59" i="4"/>
  <c r="R45" i="4"/>
  <c r="R21" i="4"/>
  <c r="S21" i="4" s="1"/>
  <c r="S210" i="3"/>
  <c r="S162" i="3"/>
  <c r="S72" i="3"/>
  <c r="S32" i="3"/>
  <c r="R16" i="6"/>
  <c r="S16" i="6" s="1"/>
  <c r="S216" i="4"/>
  <c r="S204" i="4"/>
  <c r="R112" i="4"/>
  <c r="R100" i="4"/>
  <c r="S86" i="4"/>
  <c r="S34" i="4"/>
  <c r="R20" i="4"/>
  <c r="R225" i="3"/>
  <c r="R199" i="3"/>
  <c r="S199" i="3" s="1"/>
  <c r="R149" i="3"/>
  <c r="R109" i="3"/>
  <c r="R71" i="3"/>
  <c r="R43" i="3"/>
  <c r="S43" i="3" s="1"/>
  <c r="R27" i="3"/>
  <c r="S27" i="3" s="1"/>
  <c r="R15" i="3"/>
  <c r="S15" i="3" s="1"/>
  <c r="S5" i="5"/>
  <c r="R207" i="4"/>
  <c r="S244" i="3"/>
  <c r="S208" i="3"/>
  <c r="S178" i="3"/>
  <c r="S135" i="3"/>
  <c r="S104" i="3"/>
  <c r="S92" i="3"/>
  <c r="S42" i="3"/>
  <c r="S18" i="3"/>
  <c r="R14" i="6"/>
  <c r="S13" i="6"/>
  <c r="S13" i="5"/>
  <c r="R214" i="4"/>
  <c r="S197" i="4"/>
  <c r="S185" i="4"/>
  <c r="S183" i="4"/>
  <c r="S182" i="4"/>
  <c r="S181" i="4"/>
  <c r="S179" i="4"/>
  <c r="S178" i="4"/>
  <c r="S162" i="4"/>
  <c r="S154" i="4"/>
  <c r="S152" i="4"/>
  <c r="S150" i="4"/>
  <c r="S149" i="4"/>
  <c r="S145" i="4"/>
  <c r="S144" i="4"/>
  <c r="S142" i="4"/>
  <c r="S138" i="4"/>
  <c r="S137" i="4"/>
  <c r="S136" i="4"/>
  <c r="S135" i="4"/>
  <c r="S134" i="4"/>
  <c r="S133" i="4"/>
  <c r="S132" i="4"/>
  <c r="S130" i="4"/>
  <c r="S118" i="4"/>
  <c r="S110" i="4"/>
  <c r="S74" i="4"/>
  <c r="S64" i="4"/>
  <c r="S56" i="4"/>
  <c r="R24" i="4"/>
  <c r="S10" i="4"/>
  <c r="R95" i="4"/>
  <c r="R249" i="3"/>
  <c r="R235" i="3"/>
  <c r="R201" i="3"/>
  <c r="S171" i="3"/>
  <c r="R159" i="3"/>
  <c r="S196" i="3"/>
  <c r="S176" i="3"/>
  <c r="S63" i="3"/>
  <c r="R62" i="3"/>
  <c r="S9" i="3"/>
  <c r="R186" i="3"/>
  <c r="S186" i="3" s="1"/>
  <c r="R116" i="3"/>
  <c r="S106" i="4"/>
  <c r="S221" i="3"/>
  <c r="S91" i="4"/>
  <c r="R125" i="3"/>
  <c r="S125" i="3" s="1"/>
  <c r="S211" i="4"/>
  <c r="S79" i="4"/>
  <c r="S93" i="4"/>
  <c r="R156" i="3"/>
  <c r="S156" i="3" s="1"/>
  <c r="R92" i="4"/>
  <c r="S87" i="3"/>
  <c r="S39" i="4"/>
  <c r="R184" i="3"/>
  <c r="R154" i="3"/>
  <c r="S141" i="3"/>
  <c r="R219" i="3"/>
  <c r="S165" i="3"/>
  <c r="R113" i="3"/>
  <c r="S103" i="4"/>
  <c r="S53" i="4"/>
  <c r="R254" i="3"/>
  <c r="S254" i="3" s="1"/>
  <c r="R228" i="3"/>
  <c r="S164" i="3"/>
  <c r="S112" i="3"/>
  <c r="S22" i="3"/>
  <c r="R8" i="5"/>
  <c r="R253" i="3"/>
  <c r="R217" i="3"/>
  <c r="R193" i="3"/>
  <c r="S138" i="3"/>
  <c r="S95" i="3"/>
  <c r="R49" i="3"/>
  <c r="S17" i="5"/>
  <c r="R209" i="4"/>
  <c r="S121" i="4"/>
  <c r="R87" i="4"/>
  <c r="R35" i="4"/>
  <c r="S27" i="4"/>
  <c r="R252" i="3"/>
  <c r="S238" i="3"/>
  <c r="S204" i="3"/>
  <c r="S150" i="3"/>
  <c r="R110" i="3"/>
  <c r="R82" i="3"/>
  <c r="R66" i="3"/>
  <c r="S66" i="3" s="1"/>
  <c r="S237" i="3"/>
  <c r="R215" i="3"/>
  <c r="S203" i="3"/>
  <c r="R161" i="3"/>
  <c r="R105" i="3"/>
  <c r="S105" i="3" s="1"/>
  <c r="S19" i="3"/>
  <c r="R9" i="6"/>
  <c r="S221" i="4"/>
  <c r="S203" i="4"/>
  <c r="S119" i="4"/>
  <c r="S65" i="4"/>
  <c r="R49" i="4"/>
  <c r="R43" i="4"/>
  <c r="R19" i="4"/>
  <c r="S250" i="3"/>
  <c r="R236" i="3"/>
  <c r="R214" i="3"/>
  <c r="S190" i="3"/>
  <c r="R108" i="3"/>
  <c r="R80" i="3"/>
  <c r="R26" i="3"/>
  <c r="S4" i="3"/>
  <c r="R14" i="5"/>
  <c r="R3" i="5"/>
  <c r="R199" i="4"/>
  <c r="R194" i="4"/>
  <c r="S194" i="4" s="1"/>
  <c r="R192" i="4"/>
  <c r="S190" i="4"/>
  <c r="S175" i="4"/>
  <c r="R174" i="4"/>
  <c r="R173" i="4"/>
  <c r="R172" i="4"/>
  <c r="R170" i="4"/>
  <c r="S169" i="4"/>
  <c r="R167" i="4"/>
  <c r="S140" i="4"/>
  <c r="S125" i="4"/>
  <c r="R219" i="4"/>
  <c r="S96" i="4"/>
  <c r="S32" i="4"/>
  <c r="S14" i="4"/>
  <c r="S117" i="4"/>
  <c r="S73" i="4"/>
  <c r="R9" i="4"/>
  <c r="S31" i="4"/>
  <c r="R3" i="4"/>
  <c r="S3" i="4" s="1"/>
  <c r="R207" i="3"/>
  <c r="R197" i="3"/>
  <c r="R188" i="3"/>
  <c r="S158" i="3"/>
  <c r="S134" i="3"/>
  <c r="R99" i="3"/>
  <c r="R91" i="3"/>
  <c r="S69" i="3"/>
  <c r="R3" i="3"/>
  <c r="R3" i="7"/>
  <c r="S3" i="7" s="1"/>
  <c r="S170" i="3"/>
  <c r="R119" i="3"/>
  <c r="S103" i="3"/>
  <c r="S102" i="3"/>
  <c r="R55" i="3"/>
  <c r="R29" i="3"/>
  <c r="S17" i="3"/>
  <c r="R233" i="3"/>
  <c r="S233" i="3" s="1"/>
  <c r="S144" i="3"/>
  <c r="S232" i="3"/>
  <c r="R143" i="3"/>
  <c r="R231" i="3"/>
  <c r="R185" i="3"/>
  <c r="R142" i="3"/>
  <c r="R77" i="3"/>
  <c r="S77" i="3" s="1"/>
  <c r="S166" i="3"/>
  <c r="R52" i="3"/>
  <c r="S52" i="3" s="1"/>
  <c r="S10" i="5"/>
  <c r="R212" i="4"/>
  <c r="S212" i="4" s="1"/>
  <c r="R90" i="4"/>
  <c r="S38" i="4"/>
  <c r="R85" i="3"/>
  <c r="R51" i="3"/>
  <c r="R19" i="5"/>
  <c r="S19" i="5" s="1"/>
  <c r="R89" i="4"/>
  <c r="R29" i="4"/>
  <c r="S29" i="4" s="1"/>
  <c r="S218" i="3"/>
  <c r="S84" i="3"/>
  <c r="S60" i="3"/>
  <c r="S18" i="5"/>
  <c r="S102" i="4"/>
  <c r="R88" i="4"/>
  <c r="S78" i="4"/>
  <c r="S68" i="4"/>
  <c r="S60" i="4"/>
  <c r="S46" i="4"/>
  <c r="R36" i="4"/>
  <c r="R28" i="4"/>
  <c r="R247" i="3"/>
  <c r="S247" i="3" s="1"/>
  <c r="S227" i="3"/>
  <c r="S111" i="3"/>
  <c r="S59" i="3"/>
  <c r="S11" i="6"/>
  <c r="R7" i="5"/>
  <c r="S113" i="4"/>
  <c r="S101" i="4"/>
  <c r="R51" i="4"/>
  <c r="R246" i="3"/>
  <c r="R226" i="3"/>
  <c r="R192" i="3"/>
  <c r="S137" i="3"/>
  <c r="S122" i="3"/>
  <c r="R94" i="3"/>
  <c r="R58" i="3"/>
  <c r="R6" i="3"/>
  <c r="R6" i="6"/>
  <c r="S6" i="6" s="1"/>
  <c r="S16" i="5"/>
  <c r="R6" i="5"/>
  <c r="R208" i="4"/>
  <c r="S120" i="4"/>
  <c r="S76" i="4"/>
  <c r="S66" i="4"/>
  <c r="S58" i="4"/>
  <c r="S50" i="4"/>
  <c r="R44" i="4"/>
  <c r="R26" i="4"/>
  <c r="R16" i="4"/>
  <c r="S16" i="4" s="1"/>
  <c r="S251" i="3"/>
  <c r="R245" i="3"/>
  <c r="S209" i="3"/>
  <c r="S179" i="3"/>
  <c r="S130" i="3"/>
  <c r="R93" i="3"/>
  <c r="S57" i="3"/>
  <c r="R5" i="3"/>
  <c r="S15" i="6"/>
  <c r="S5" i="6"/>
  <c r="R215" i="4"/>
  <c r="R85" i="4"/>
  <c r="R33" i="4"/>
  <c r="R25" i="4"/>
  <c r="S224" i="3"/>
  <c r="S198" i="3"/>
  <c r="R160" i="3"/>
  <c r="S120" i="3"/>
  <c r="S70" i="3"/>
  <c r="R56" i="3"/>
  <c r="R30" i="3"/>
  <c r="S10" i="3"/>
  <c r="R3" i="8"/>
  <c r="S3" i="8" s="1"/>
  <c r="R4" i="6"/>
  <c r="S4" i="5"/>
  <c r="S224" i="4"/>
  <c r="R206" i="4"/>
  <c r="R202" i="4"/>
  <c r="S200" i="4"/>
  <c r="S198" i="4"/>
  <c r="S196" i="4"/>
  <c r="R186" i="4"/>
  <c r="S186" i="4" s="1"/>
  <c r="S184" i="4"/>
  <c r="S180" i="4"/>
  <c r="R177" i="4"/>
  <c r="R164" i="4"/>
  <c r="S164" i="4" s="1"/>
  <c r="S163" i="4"/>
  <c r="S158" i="4"/>
  <c r="R157" i="4"/>
  <c r="R156" i="4"/>
  <c r="R155" i="4"/>
  <c r="R153" i="4"/>
  <c r="R151" i="4"/>
  <c r="R143" i="4"/>
  <c r="R131" i="4"/>
  <c r="R129" i="4"/>
  <c r="R128" i="4"/>
  <c r="R123" i="4"/>
  <c r="S123" i="4" s="1"/>
  <c r="S223" i="4"/>
  <c r="R84" i="4"/>
  <c r="S82" i="4"/>
  <c r="R48" i="4"/>
  <c r="R42" i="4"/>
  <c r="R115" i="4"/>
  <c r="R41" i="4"/>
  <c r="R213" i="3"/>
  <c r="R189" i="3"/>
  <c r="R147" i="3"/>
  <c r="S127" i="3"/>
  <c r="R41" i="3"/>
  <c r="S155" i="4"/>
  <c r="S151" i="4"/>
  <c r="S131" i="4"/>
  <c r="S129" i="4"/>
  <c r="S128" i="4"/>
  <c r="R223" i="4"/>
  <c r="S84" i="4"/>
  <c r="S42" i="4"/>
  <c r="S115" i="4"/>
  <c r="S213" i="3"/>
  <c r="S147" i="3"/>
  <c r="R174" i="3"/>
  <c r="S174" i="3" s="1"/>
  <c r="S41" i="3"/>
</calcChain>
</file>

<file path=xl/sharedStrings.xml><?xml version="1.0" encoding="utf-8"?>
<sst xmlns="http://schemas.openxmlformats.org/spreadsheetml/2006/main" count="1398" uniqueCount="362">
  <si>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</si>
  <si>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</si>
  <si>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</si>
  <si>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</si>
  <si>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</si>
  <si>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</si>
  <si>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</si>
  <si>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</si>
  <si>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</si>
  <si>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</si>
  <si>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</si>
  <si>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</si>
  <si>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</si>
  <si>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</si>
  <si>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</si>
  <si>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</si>
  <si>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</si>
  <si>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</si>
  <si>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JULI</t>
  </si>
  <si>
    <t>KEN/71/026</t>
  </si>
  <si>
    <t>KEN/71/056</t>
  </si>
  <si>
    <t>KEN/72/177</t>
  </si>
  <si>
    <t>KEN/74/238</t>
  </si>
  <si>
    <t>KEN/75/298</t>
  </si>
  <si>
    <t>KEN/76/460</t>
  </si>
  <si>
    <t>ATA/71/166</t>
  </si>
  <si>
    <t>ATA/72/246</t>
  </si>
  <si>
    <t>ATA/74/303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</si>
  <si>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</si>
  <si>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</si>
  <si>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</si>
  <si>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</si>
  <si>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</si>
  <si>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</si>
  <si>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</si>
  <si>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</si>
  <si>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</si>
  <si>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</si>
  <si>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</si>
  <si>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</si>
  <si>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</si>
  <si>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</si>
  <si>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</si>
  <si>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</si>
  <si>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</si>
  <si>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</si>
  <si>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</si>
  <si>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</si>
  <si>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</si>
  <si>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</si>
  <si>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</si>
  <si>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KEN/71/019</t>
  </si>
  <si>
    <t>KEN/77/585</t>
  </si>
  <si>
    <t>KEN/77/607</t>
  </si>
  <si>
    <t>KEN/77/613</t>
  </si>
  <si>
    <t>KEN/78/730</t>
  </si>
  <si>
    <t>KEN/78/740</t>
  </si>
  <si>
    <t>ATA/75/393</t>
  </si>
  <si>
    <t>ATA/76/474</t>
  </si>
  <si>
    <t>ATA/76/496</t>
  </si>
  <si>
    <t>ATA/78/637</t>
  </si>
  <si>
    <t>ATA/711/739</t>
  </si>
  <si>
    <t>KAL/711/265</t>
  </si>
  <si>
    <t>99 /77/222</t>
  </si>
  <si>
    <t>99 /77/122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</si>
  <si>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</si>
  <si>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</si>
  <si>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</si>
  <si>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</si>
  <si>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</si>
  <si>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</si>
  <si>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KEN/713/054</t>
  </si>
  <si>
    <t>KEN/713/063</t>
  </si>
  <si>
    <t>KEN/714/194</t>
  </si>
  <si>
    <t>KEN/713/088</t>
  </si>
  <si>
    <t>KEN/714/218</t>
  </si>
  <si>
    <t>KEN/714/231</t>
  </si>
  <si>
    <t>ATA/712/806</t>
  </si>
  <si>
    <t>ATA/712/807</t>
  </si>
  <si>
    <t>ATA/713/851</t>
  </si>
  <si>
    <t>ATA/713/914</t>
  </si>
  <si>
    <t>ATA/713/915</t>
  </si>
  <si>
    <t>ATA/713/930</t>
  </si>
  <si>
    <t>KAL/713/278</t>
  </si>
  <si>
    <t>KEN/715/356</t>
  </si>
  <si>
    <t>KEN/715/365</t>
  </si>
  <si>
    <t>KEN/716/481</t>
  </si>
  <si>
    <t>KEN/716/517</t>
  </si>
  <si>
    <t>ATA/714/953</t>
  </si>
  <si>
    <t>ATA/714/026</t>
  </si>
  <si>
    <t>KEN/718/603</t>
  </si>
  <si>
    <t>KEN/719/675</t>
  </si>
  <si>
    <t>KEN/720/836</t>
  </si>
  <si>
    <t>KEN/711/852</t>
  </si>
  <si>
    <t>KEN/711/867</t>
  </si>
  <si>
    <t>KEN/712/969</t>
  </si>
  <si>
    <t>KEN/712/976</t>
  </si>
  <si>
    <t>SAM/722/302</t>
  </si>
  <si>
    <t>SAJ</t>
  </si>
  <si>
    <t>CV SAMUDERA ANGKASA JAYA</t>
  </si>
  <si>
    <t>LAY/714/018</t>
  </si>
  <si>
    <t>MGN</t>
  </si>
  <si>
    <t>PT MITRA GLOBAL NIAGA</t>
  </si>
  <si>
    <t>KEN/721/109</t>
  </si>
  <si>
    <t>KEN/723/256</t>
  </si>
  <si>
    <t>ATA/719/405</t>
  </si>
  <si>
    <t>ATA/720/451</t>
  </si>
  <si>
    <t>ATA/720/503</t>
  </si>
  <si>
    <t>ATA/720/512</t>
  </si>
  <si>
    <t>KEN/725/347</t>
  </si>
  <si>
    <t>KEN/725/367</t>
  </si>
  <si>
    <t>ATA/721/559</t>
  </si>
  <si>
    <t>ATA/721/558</t>
  </si>
  <si>
    <t>ATA/721/560</t>
  </si>
  <si>
    <t>ATA/721/574</t>
  </si>
  <si>
    <t>ATA/722/756</t>
  </si>
  <si>
    <t>KEN/721/971</t>
  </si>
  <si>
    <t>KEN/721/979</t>
  </si>
  <si>
    <t>KEN/721/988</t>
  </si>
  <si>
    <t>KEN/726/386</t>
  </si>
  <si>
    <t>KEN/727/516</t>
  </si>
  <si>
    <t>ATA/723/855</t>
  </si>
  <si>
    <t>ATA/725/906</t>
  </si>
  <si>
    <t>ATA/726/022</t>
  </si>
  <si>
    <t>ATA/723/797</t>
  </si>
  <si>
    <t>ATA/723/798</t>
  </si>
  <si>
    <t>ATA/723/799</t>
  </si>
  <si>
    <t>ATA/725/967</t>
  </si>
  <si>
    <t>cek2</t>
  </si>
  <si>
    <t>Total</t>
  </si>
  <si>
    <t>ATA/727/139</t>
  </si>
  <si>
    <t>KAL/728/413</t>
  </si>
  <si>
    <t>KAL/728/418</t>
  </si>
  <si>
    <t>ATA/728/222</t>
  </si>
  <si>
    <t>ATA/729/283</t>
  </si>
  <si>
    <t>ISI STAPLER GREATWALL GW-369 (BESAR)</t>
  </si>
  <si>
    <t/>
  </si>
  <si>
    <t>ada</t>
  </si>
  <si>
    <t>PENCIL CASE KRT KK-2C 8D S 2 BD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</si>
  <si>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</si>
  <si>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</si>
  <si>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</si>
  <si>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</si>
  <si>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</si>
  <si>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</si>
  <si>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</si>
  <si>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</si>
  <si>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</si>
  <si>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</si>
  <si>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</si>
  <si>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</si>
  <si>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</si>
  <si>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</si>
  <si>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</si>
  <si>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</si>
  <si>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CALCULATOR JOYKO CC-15A</t>
  </si>
  <si>
    <t>CALCULATOR JOYKO CC-8CO BIRU</t>
  </si>
  <si>
    <t>CALCULATOR JOYKO CC-8CO HIJAU</t>
  </si>
  <si>
    <t>CALCULATOR JOYKO CC-8CO ORANGE</t>
  </si>
  <si>
    <t>CALCULATOR JOYKO CC-8A</t>
  </si>
  <si>
    <t>CALCULATOR JOYKO DTC-1313CH</t>
  </si>
  <si>
    <t>CALCULATOR JOYKO CC-40</t>
  </si>
  <si>
    <t>CALCULATOR JOYKO CC-37</t>
  </si>
  <si>
    <t>CALCULATOR JOYKO CC-38</t>
  </si>
  <si>
    <t>CALCULATOR JOYKO CC-46</t>
  </si>
  <si>
    <t>CALCULATOR JOYKO DTC-1516</t>
  </si>
  <si>
    <t>PENCIL CASE KENKO PC-0719</t>
  </si>
  <si>
    <t>CORRECTION FLUID KENKO KE-01</t>
  </si>
  <si>
    <t>GEL PEN KENKO HI-TECH-H 0.28 MM HITAM</t>
  </si>
  <si>
    <t>GEL PEN KENKO KE-200 HITAM</t>
  </si>
  <si>
    <t>GEL PEN KENKO EASY GEL HITAM</t>
  </si>
  <si>
    <t>MESIN LABEL HARGA KENKO MX-5500 (8 DIGITS, 1 LINE)</t>
  </si>
  <si>
    <t>CUTTER 18 MM KENKO L-500 (BESAR)</t>
  </si>
  <si>
    <t>STAPLER KENKO HD-10S (MINI)</t>
  </si>
  <si>
    <t>GEL PEN KENKO KE-600 WINJELLER HITAM</t>
  </si>
  <si>
    <t>GEL PEN KENKO K-1 HITAM</t>
  </si>
  <si>
    <t>GEL PEN KENKO HI-TECH-H 0.28 MM BIRU</t>
  </si>
  <si>
    <t>GEL PEN KENKO KE-303 T-GEL TRIANGULAR HITAM</t>
  </si>
  <si>
    <t>STAMP PAD KENKO NO. 0</t>
  </si>
  <si>
    <t>SPIDOL PERMANEN KENKO PM-100 HITAM</t>
  </si>
  <si>
    <t>STAPLER KENKO HD-10</t>
  </si>
  <si>
    <t>ASAHAN MEJA KENKO A-5</t>
  </si>
  <si>
    <t>BUKU TAMU KENKO BT-2920-BTK02/03 (BATIK)</t>
  </si>
  <si>
    <t>CORRECTION FLUID KENKO KE-108</t>
  </si>
  <si>
    <t>DOUBLE TAPE KENKO 6 MM - BLUE CORE (1/4")</t>
  </si>
  <si>
    <t>DOUBLE TAPE KENKO 12 MM - BLUE CORE (1/2")</t>
  </si>
  <si>
    <t>LABEL HARGA KENKO 5002-2R (2 LINE) isi 10 rol</t>
  </si>
  <si>
    <t>REFILL / ISI GEL PEN KENKO EASY GEL / KE-SERIES</t>
  </si>
  <si>
    <t>STIP / PENGHAPUS KENKO ERW-20SQ PUTIH</t>
  </si>
  <si>
    <t>STIP / PENGHAPUS KENKO ERB-20SQ HITAM</t>
  </si>
  <si>
    <t>CORRECTION FLUID KENKO UR-01</t>
  </si>
  <si>
    <t>LOOSE LEAF KENKO A5-LL 50-2070</t>
  </si>
  <si>
    <t>LOOSE LEAF KENKO A5-LL 100-2070</t>
  </si>
  <si>
    <t>BINDER CLIP KENKO NO. 105</t>
  </si>
  <si>
    <t>BINDER CLIP KENKO NO. 107</t>
  </si>
  <si>
    <t>BINDER CLIP KENKO NO. 111</t>
  </si>
  <si>
    <t>BINDER CLIP KENKO NO. 200</t>
  </si>
  <si>
    <t>BINDER CLIP KENKO NO. 260</t>
  </si>
  <si>
    <t>BINDER CLIP KENKO NO. 280</t>
  </si>
  <si>
    <t>PAPER TRIGONAL CLIP KENKO NO. 3</t>
  </si>
  <si>
    <t>PAPER JUMBO CLIP KENKO NO. 5</t>
  </si>
  <si>
    <t>TAPE DISPENSER KENKO TD-323 (1" &amp; 3" CORE)</t>
  </si>
  <si>
    <t>LEM STICK KENKO 8 GR (KECIL) isi 30 pc</t>
  </si>
  <si>
    <t>LEM STICK KENKO 25 GR (BESAR) isi 12 pc</t>
  </si>
  <si>
    <t>TAPE DISPENSER KENKO TD-501 (1" CORE)</t>
  </si>
  <si>
    <t>TAPE DISPENSER KENKO TD-503 (3" CORE)</t>
  </si>
  <si>
    <t>CORRECTION FLUID KENKO KE-107M</t>
  </si>
  <si>
    <t>LABEL HARGA KENKO 6001-2R (1 LINE) isi 10 rol</t>
  </si>
  <si>
    <t>PENSIL KENKO 2B-6181 BIRU CAP HITAM</t>
  </si>
  <si>
    <t>PENSIL KENKO 2B-6191 HIJAU CAP HITAM</t>
  </si>
  <si>
    <t>PENCIL KENKO 2B-6388 ZOO N ZOO</t>
  </si>
  <si>
    <t>LEM STICK KENKO 15 GR (TANGGUNG) isi 20 pc</t>
  </si>
  <si>
    <t>STAPLER KENKO HD-10D PASTEL COLOR</t>
  </si>
  <si>
    <t>STAPLER KENKO HD-50</t>
  </si>
  <si>
    <t>LEM CAIR 50 ML KENKO LG-50</t>
  </si>
  <si>
    <t>PENSIL WARNA KENKO CP-24FNW (NON WOOD)</t>
  </si>
  <si>
    <t>PENSIL WARNA KENKO CP-36F CLASSIC (PANJANG)</t>
  </si>
  <si>
    <t>CRAYON / OIL PASTEL KENKO 18W GARDEN</t>
  </si>
  <si>
    <t>MECHANICAL PENCIL 0.5 MM KENKO MP-01</t>
  </si>
  <si>
    <t>CUTTER 9 MM KENKO A-300 (KECIL)</t>
  </si>
  <si>
    <t>CORRECTION FLUID KENKO KE-826M</t>
  </si>
  <si>
    <t>TAPE DISPENSER KENKO TD-323 NC (1" &amp; 3" CORE)</t>
  </si>
  <si>
    <t>PUNCH KENKO NO. 85</t>
  </si>
  <si>
    <t>PUNCH KENKO NO. 85XL</t>
  </si>
  <si>
    <t>LAMINATING FILM KENKO LF100-2234 (FC)</t>
  </si>
  <si>
    <t>CORRECTION FLUID KENKO KE-823M</t>
  </si>
  <si>
    <t>GEL PEN KENKO KE-100</t>
  </si>
  <si>
    <t>GEL PEN KENKO KS-97 SIGN PEN HITAM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</si>
  <si>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</si>
  <si>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</si>
  <si>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</si>
  <si>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</si>
  <si>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PLAKBAND KAIN HITAM KENKO 36 MM (1,5") BLUE CORE</t>
  </si>
  <si>
    <t>BUKU TAMU KENKO BT-2920-01/03 (BUNGA)</t>
  </si>
  <si>
    <t>ISI CUTTER 18 MM KENKO L-150 (BESAR)</t>
  </si>
  <si>
    <t>PENSIL KENKO 2B-3181 TRIANGULAR  HITAM CAP MERAH</t>
  </si>
  <si>
    <t>PENSIL WARNA KENKO CP-12F CLASSIC (PANJANG)</t>
  </si>
  <si>
    <t>GUNTING KENKO SC-828</t>
  </si>
  <si>
    <t>DESK SET KENKO K-8312 ORGANIZER</t>
  </si>
  <si>
    <t>POCKET NOTE SPIRAL KENKO PN-501</t>
  </si>
  <si>
    <t>BUKU TAMU KENKO BT-3224-01/02 (BUNGA)</t>
  </si>
  <si>
    <t>BUKU TAMU KENKO BT-3224-BTK-02 (BATIK)</t>
  </si>
  <si>
    <t>PAPER CLIP WARNA KENKO 3100</t>
  </si>
  <si>
    <t>GUNTING KENKO SC-848N</t>
  </si>
  <si>
    <t>BINDER NOTE KENKO A5-BNPP-8C BASIC (POLOS)</t>
  </si>
  <si>
    <t>GUNTING KENKO SC-838N</t>
  </si>
  <si>
    <t>CORRECTION FLUID KENKO BTK-01 BATIK</t>
  </si>
  <si>
    <t>BINDER CLIP KENKO NO. 155</t>
  </si>
  <si>
    <t>BUKU TAMU KENKO BT-3224-BTK (BATIK)</t>
  </si>
  <si>
    <t>PUNCH KENKO NO. 30XL</t>
  </si>
  <si>
    <t>PUNCH KENKO NO. 85N</t>
  </si>
  <si>
    <t>CUTTER 9 MM JOYKO A-300A AUTOLOCK (KECIL)</t>
  </si>
  <si>
    <t>TAPE CUTTER JOYKO TD-103</t>
  </si>
  <si>
    <t>CRAYON / OIL PASTEL JOYKO OP-12CH HEXAGONAL</t>
  </si>
  <si>
    <t>CRAYON / OIL PASTEL JOYKO OP-55S PP CASE SEA WORLD</t>
  </si>
  <si>
    <t>BALLPEN JOYKO BP-338 VOCUS HITAM</t>
  </si>
  <si>
    <t>GUNTING JOYKO SC-828</t>
  </si>
  <si>
    <t>GUNTING JOYKO SC-838</t>
  </si>
  <si>
    <t>GUNTING JOYKO SC-838 SG</t>
  </si>
  <si>
    <t>CRAYON / OIL PASTEL JOYKO OP-12CHC COMPACT</t>
  </si>
  <si>
    <t>PENSIL WARNA JOYKO CP-101 (24W PANJANG)</t>
  </si>
  <si>
    <t>GEL PEN JOYKO JK-100 KING JELLER</t>
  </si>
  <si>
    <t>GEL PEN GP-212 I-DIAMOND (BLACK) JK</t>
  </si>
  <si>
    <t>PAPER CUTTER JOYKO PC-2638 (BESI FOLIO)</t>
  </si>
  <si>
    <t>CUTTER 18 MM JOYKO L-500-CU</t>
  </si>
  <si>
    <t>LEM STICK JOYKO 8 GR GS-09 isi 12 pc</t>
  </si>
  <si>
    <t>WATER COLOR WAC-6ML-12 SCREW TYPE JK</t>
  </si>
  <si>
    <t>BINDER CLIP JOYKO 260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</si>
  <si>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</si>
  <si>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</si>
  <si>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</si>
  <si>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OP-48S PP CASE SEA WORLD</t>
  </si>
  <si>
    <t>STAPLER JOYKO HD-10</t>
  </si>
  <si>
    <t>STAPLER JOYKO HD-50</t>
  </si>
  <si>
    <t>PENSIL WARNA JOYKO CP-103 (12W)</t>
  </si>
  <si>
    <t>PENSIL WARNA JOYKO CP-104</t>
  </si>
  <si>
    <t>LABEL HARGA JOYKO LB-P2CY (2 LINE KUNING)</t>
  </si>
  <si>
    <t>LABEL HARGA JOYKO LB-2RL (1 LINE PUTIH)</t>
  </si>
  <si>
    <t>PENSIL WARNA JOYKO CP-100 (12W PANJANG)</t>
  </si>
  <si>
    <t>PAPER TRIGONAL CLIP JOYKO NO. 3</t>
  </si>
  <si>
    <t>PAPER JUMBO CLIP JOYKO NO. 5</t>
  </si>
  <si>
    <t>PUNCH JOYKO 30XL</t>
  </si>
  <si>
    <t>HIGHLIGHTER / STABILLO JOYKO HL-1 KUNING</t>
  </si>
  <si>
    <t>HIGHLIGHTER / STABILLO JOYKO HL-2 HIJAU</t>
  </si>
  <si>
    <t>HIGHLIGHTER / STABILLO JOYKO HL-3 BIRU</t>
  </si>
  <si>
    <t>HIGHLIGHTER / STABILLO JOYKO HL-4 PINK</t>
  </si>
  <si>
    <t>HIGHLIGHTER / STABILLO JOYKO HL-5 ORANGE</t>
  </si>
  <si>
    <t>BINDER CLIP JOYKO 155</t>
  </si>
  <si>
    <t>COLOR BRUSH PEN JOYKO CLP-06 (12 WARNA)</t>
  </si>
  <si>
    <t>BINDER NOTE JOYKO A5-TSFC-M480 (FACULTY) - U</t>
  </si>
  <si>
    <t>BINDER NOTE JOYKO A5-TSDS-M440 (DISCOVERY) - U</t>
  </si>
  <si>
    <t>BINDER NOTE JOYKO A5-TSCL-M491 (COLLEGE) - U</t>
  </si>
  <si>
    <t>BINDER NOTE JOYKO A5-TSTP-513 (TEMPORARY) - U</t>
  </si>
  <si>
    <t>PENSIL WARNA JOYKO CP-107 (12W)</t>
  </si>
  <si>
    <t>STAPLER GUNTACKER JOYKO GT-700</t>
  </si>
  <si>
    <t>STAPLER GUNTACKER JOYKO GT-701</t>
  </si>
  <si>
    <t>MESIN LABEL HARGA JOYKO MX-5500M (8 DIGITS, 1 LINE)</t>
  </si>
  <si>
    <t>ISI MECH PEN 2B 0.5 MM JOYKO PL-05</t>
  </si>
  <si>
    <t>TAPE CUTTER JOYKO TD-102</t>
  </si>
  <si>
    <t>BINDER NOTE JOYKO A5-TSUN-M473 (UNIVERSITY) - U</t>
  </si>
  <si>
    <t>BINDER NOTE JOYKO A5-TSED-M503 (EDUCATION)</t>
  </si>
  <si>
    <t>BINDER NOTE JOYKO A5-TSIM-M478 (IMAGINATION- U</t>
  </si>
  <si>
    <t>BINDER NOTE JOYKO A5-TSIM-M416 (IMAGE) - U</t>
  </si>
  <si>
    <t>BINDER NOTE JOYKO A5-TSCS-M432 (CLASSIC) - U</t>
  </si>
  <si>
    <t>BINDER NOTE JOYKO A5-TSCL-M474 (COLLEGE) - U</t>
  </si>
  <si>
    <t>BINDER NOTE JOYKO A5-TSBS-M376  (BASIC) -U</t>
  </si>
  <si>
    <t>CRAYON / OIL PASTEL JOYKO OP-36S PP CASE SEA WORLD</t>
  </si>
  <si>
    <t>CRAYON / OIL PASTEL PUTAR JOYKO TWCR-12MINI (PENDEK)</t>
  </si>
  <si>
    <t>PENCIL CASE JOYKO PC-0719TV-33A/F (TRAVEL)</t>
  </si>
  <si>
    <t>PENCIL CASE JOYKO PC-0719PL-32 Biru</t>
  </si>
  <si>
    <t>PENCIL CASE JOYKO PC-0719PL-32 Hijau</t>
  </si>
  <si>
    <t>PENCIL CASE JOYKO PC-0719PL-32 Merah</t>
  </si>
  <si>
    <t>LAMINATING FILM JOYKO LF100-2234 (F4)</t>
  </si>
  <si>
    <t>KUAS SET JOYKO BR-1</t>
  </si>
  <si>
    <t>CUTTER 18 MM JOYKO L-500 + ISI (BESAR)</t>
  </si>
  <si>
    <t>ISI CUTTER 18 MM JOYKO L-150 AM (BESAR)</t>
  </si>
  <si>
    <t>PENSIL JOYKO 2B P-88</t>
  </si>
  <si>
    <t>GEL PEN JOYKO GP-330 HITAM</t>
  </si>
  <si>
    <t>CORRECTION FLUID JOYKO CF-S209</t>
  </si>
  <si>
    <t>CRAYON / OIL PASTEL PUTAR JOYKO TWCR-12S (PANJANG)</t>
  </si>
  <si>
    <t>TAPE CUTTER JOYKO TD-09N</t>
  </si>
  <si>
    <t>GEL PEN JOYKO GP-266 ITECH 2 HITAM</t>
  </si>
  <si>
    <t>GEL PEN JOYKO GP-266 ITECH 2 BIRU</t>
  </si>
  <si>
    <t>LEM STICK JOYKO 15 GR GS-15 isi 12 pc</t>
  </si>
  <si>
    <t>GLUE STICK GS-25 JK</t>
  </si>
  <si>
    <t>PENSIL WARNA JOYKO CP-S12 MINI (PENDEK)</t>
  </si>
  <si>
    <t>PENSIL WARNA JOYKO CP-S24 MINI (PENDEK)</t>
  </si>
  <si>
    <t>ASAHAN JOYKO B-72 (isi 24 pc)</t>
  </si>
  <si>
    <t>BINDER NOTE JOYKO A5-TSFS-514 (FRIENDSHIP) JK-U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</si>
  <si>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</si>
  <si>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</si>
  <si>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</si>
  <si>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</si>
  <si>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</si>
  <si>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PENCIL CASE JOYKO PC-0719GZ-34A/F (GOZZY)</t>
  </si>
  <si>
    <t>LEM STICK JOYKO 8 GR GS-100 isi 24 pc</t>
  </si>
  <si>
    <t>STIP / PENGHAPUS JOYKO 526-B40P PUTIH</t>
  </si>
  <si>
    <t>STIP / PENGHAPUS JOYKO 526-B20 PUTIH</t>
  </si>
  <si>
    <t>STAPLER JOYKO HD-10CL</t>
  </si>
  <si>
    <t>LEM LIQUID (CAIR) JOYKO GL-R35 (35 ML)</t>
  </si>
  <si>
    <t>LEM LIQUID (CAIR) JOYKO GL-R50 (50 ML)</t>
  </si>
  <si>
    <t>ASAHAN MEJA JOYKO A-5M</t>
  </si>
  <si>
    <t>CORRECTION TAPE JOYKO CT-520</t>
  </si>
  <si>
    <t>BALLPEN JOYKO BP-251 FRODO HITAM</t>
  </si>
  <si>
    <t>BALLPEN JOYKO BP-254 MORA HITAM</t>
  </si>
  <si>
    <t>BALLPEN JOYKO BP-249 LINO HITAM</t>
  </si>
  <si>
    <t>CORRECTION FLUID JOYKO JK-101A</t>
  </si>
  <si>
    <t>BINDER CLIP JOYKO 280</t>
  </si>
  <si>
    <t>STIP / PENGHAPUS JOYKO ER-B20BL HITAM</t>
  </si>
  <si>
    <t>STIP / PENGHAPUS JOYKO 526-B40BL HITAM</t>
  </si>
  <si>
    <t>GUNTING JOYKO SC-848</t>
  </si>
  <si>
    <t>LEM STICK JOYKO 8 GR GS-103 BATIK isi 24 pc</t>
  </si>
  <si>
    <t>LEM STICK JOYKO 15 GR GS-104 TG (ANIMAL KINGDOM) isi 24 pc</t>
  </si>
  <si>
    <t>STIP / PENGHAPUS JOYKO ER-30W PUTIH</t>
  </si>
  <si>
    <t>ISI CUTTER 18 MM JOYKO L-150 MH (BESAR)</t>
  </si>
  <si>
    <t>LEM LIQUID (CAIR) JOYKO GL-50</t>
  </si>
  <si>
    <t>CORRECTION TAPE JOYKO CT-507</t>
  </si>
  <si>
    <t>CORRECTION FLUID JOYKO JK-01</t>
  </si>
  <si>
    <t>PAPER CLIP WARNA JOYKO C-3100</t>
  </si>
  <si>
    <t>DESK SET DS-1015 JK</t>
  </si>
  <si>
    <t>ERASER ER-110 JK</t>
  </si>
  <si>
    <t>STIP / PENGHAPUS JOYKO EB-30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</si>
</sst>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2" fillId="0" borderId="0" xfId="0" applyNumberFormat="1" applyFont="1"/>
    <xf numFmtId="0" fontId="3" fillId="0" borderId="0" xfId="0" applyNumberFormat="1" applyFont="1" applyAlignment="1">
      <alignment vertical="center"/>
    </xf>
    <xf numFmtId="0" fontId="4" fillId="0" borderId="0" xfId="0" applyNumberFormat="1" applyFont="1"/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6" fillId="0" borderId="0" xfId="0" applyNumberFormat="1" applyFont="1"/>
    <xf numFmtId="0" fontId="7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4" fontId="0" fillId="0" borderId="0" xfId="0" applyNumberFormat="1" applyFont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NumberFormat="1" applyFont="1" applyFill="1"/>
    <xf numFmtId="4" fontId="8" fillId="0" borderId="0" xfId="0" applyNumberFormat="1" applyFont="1" applyFill="1"/>
    <xf numFmtId="0" fontId="0" fillId="0" borderId="0" xfId="0" applyNumberFormat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Font="1" applyAlignment="1">
      <alignment horizontal="right"/>
    </xf>
    <xf numFmtId="0" fontId="9" fillId="0" borderId="0" xfId="0" applyNumberFormat="1" applyFont="1"/>
    <xf numFmtId="0" fontId="10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191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19" formatCode="dd/mm/yyyy"/>
    </dxf>
    <dxf>
      <numFmt numFmtId="4" formatCode="#,##0.00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2-BARANG%20DATANG%2020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7%20JULI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  <sheetName val="NOTA"/>
      <sheetName val="RAP"/>
      <sheetName val="JUT"/>
      <sheetName val="dic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>
        <row r="2">
          <cell r="B2" t="str">
            <v>DB.xlsx!db[NB NOTA_C]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/>
        </row>
        <row r="375">
          <cell r="C375" t="str">
            <v>SA220709166</v>
          </cell>
        </row>
        <row r="376">
          <cell r="C376" t="str">
            <v>SA220709246</v>
          </cell>
        </row>
        <row r="377">
          <cell r="C377" t="str">
            <v>SA220709303</v>
          </cell>
        </row>
        <row r="378">
          <cell r="C378" t="str">
            <v>SA220709393</v>
          </cell>
        </row>
        <row r="379">
          <cell r="C379" t="str">
            <v>SA220709474</v>
          </cell>
        </row>
        <row r="380">
          <cell r="C380" t="str">
            <v>SA220709496</v>
          </cell>
        </row>
        <row r="381">
          <cell r="C381" t="str">
            <v>SA220709637</v>
          </cell>
        </row>
        <row r="382">
          <cell r="C382" t="str">
            <v>SA220709739</v>
          </cell>
        </row>
        <row r="383">
          <cell r="C383" t="str">
            <v>SA220709806</v>
          </cell>
        </row>
        <row r="384">
          <cell r="C384" t="str">
            <v>SA220709807</v>
          </cell>
        </row>
        <row r="385">
          <cell r="C385" t="str">
            <v>SA220709851</v>
          </cell>
        </row>
        <row r="386">
          <cell r="C386" t="str">
            <v>SA220709914</v>
          </cell>
        </row>
        <row r="387">
          <cell r="C387" t="str">
            <v>SA220709915</v>
          </cell>
        </row>
        <row r="388">
          <cell r="C388" t="str">
            <v>SA220709930</v>
          </cell>
        </row>
        <row r="389">
          <cell r="C389" t="str">
            <v>SA220709953</v>
          </cell>
        </row>
        <row r="390">
          <cell r="C390" t="str">
            <v>SA220710026</v>
          </cell>
        </row>
        <row r="391">
          <cell r="C391" t="str">
            <v>SA220710405</v>
          </cell>
        </row>
        <row r="392">
          <cell r="C392" t="str">
            <v>SA220710451</v>
          </cell>
        </row>
        <row r="393">
          <cell r="C393" t="str">
            <v>SA220710503</v>
          </cell>
        </row>
        <row r="394">
          <cell r="C394" t="str">
            <v>SA220710512</v>
          </cell>
        </row>
        <row r="395">
          <cell r="C395" t="str">
            <v>SA220710558</v>
          </cell>
        </row>
        <row r="396">
          <cell r="C396" t="str">
            <v>SA220710559</v>
          </cell>
        </row>
        <row r="397">
          <cell r="C397" t="str">
            <v>SA220710560</v>
          </cell>
        </row>
        <row r="398">
          <cell r="C398" t="str">
            <v>SA220710574</v>
          </cell>
        </row>
        <row r="399">
          <cell r="C399" t="str">
            <v>SA220710756</v>
          </cell>
        </row>
        <row r="400">
          <cell r="C400" t="str">
            <v>SA220710797</v>
          </cell>
        </row>
        <row r="401">
          <cell r="C401" t="str">
            <v>SA220710798</v>
          </cell>
        </row>
        <row r="402">
          <cell r="C402" t="str">
            <v>SA220710799</v>
          </cell>
        </row>
        <row r="403">
          <cell r="C403" t="str">
            <v>SA220710855</v>
          </cell>
        </row>
        <row r="404">
          <cell r="C404" t="str">
            <v>SA220710906</v>
          </cell>
        </row>
        <row r="405">
          <cell r="C405" t="str">
            <v>SA220710967</v>
          </cell>
        </row>
        <row r="406">
          <cell r="C406" t="str">
            <v>SA220711022</v>
          </cell>
        </row>
        <row r="407">
          <cell r="C407" t="str">
            <v>SA220711139</v>
          </cell>
        </row>
        <row r="408">
          <cell r="C408" t="str">
            <v>SA220711222</v>
          </cell>
        </row>
        <row r="409">
          <cell r="C409" t="str">
            <v>SA220711283</v>
          </cell>
        </row>
        <row r="410">
          <cell r="C410"/>
        </row>
        <row r="411">
          <cell r="C411" t="str">
            <v>SN22071265</v>
          </cell>
        </row>
        <row r="412">
          <cell r="C412" t="str">
            <v>SN22071278</v>
          </cell>
        </row>
        <row r="413">
          <cell r="C413" t="str">
            <v>SN22071413</v>
          </cell>
        </row>
        <row r="414">
          <cell r="C414" t="str">
            <v>SN22071418</v>
          </cell>
        </row>
        <row r="415">
          <cell r="C415"/>
        </row>
        <row r="416">
          <cell r="C416" t="str">
            <v>22070019</v>
          </cell>
        </row>
        <row r="417">
          <cell r="C417" t="str">
            <v>22070026</v>
          </cell>
        </row>
        <row r="418">
          <cell r="C418" t="str">
            <v>22070056</v>
          </cell>
        </row>
        <row r="419">
          <cell r="C419" t="str">
            <v>22070177</v>
          </cell>
        </row>
        <row r="420">
          <cell r="C420">
            <v>22070238</v>
          </cell>
        </row>
        <row r="421">
          <cell r="C421">
            <v>22070298</v>
          </cell>
        </row>
        <row r="422">
          <cell r="C422">
            <v>22070460</v>
          </cell>
        </row>
        <row r="423">
          <cell r="C423">
            <v>22070585</v>
          </cell>
        </row>
        <row r="424">
          <cell r="C424">
            <v>22070607</v>
          </cell>
        </row>
        <row r="425">
          <cell r="C425">
            <v>22070613</v>
          </cell>
        </row>
        <row r="426">
          <cell r="C426" t="str">
            <v>22070730</v>
          </cell>
        </row>
        <row r="427">
          <cell r="C427" t="str">
            <v>22070740</v>
          </cell>
        </row>
        <row r="428">
          <cell r="C428">
            <v>22070852</v>
          </cell>
        </row>
        <row r="429">
          <cell r="C429">
            <v>22070867</v>
          </cell>
        </row>
        <row r="430">
          <cell r="C430">
            <v>22070969</v>
          </cell>
        </row>
        <row r="431">
          <cell r="C431">
            <v>22070976</v>
          </cell>
        </row>
        <row r="432">
          <cell r="C432" t="str">
            <v>22071054</v>
          </cell>
        </row>
        <row r="433">
          <cell r="C433" t="str">
            <v>22071063</v>
          </cell>
        </row>
        <row r="434">
          <cell r="C434" t="str">
            <v>22071088</v>
          </cell>
        </row>
        <row r="435">
          <cell r="C435" t="str">
            <v>22071194</v>
          </cell>
        </row>
        <row r="436">
          <cell r="C436" t="str">
            <v>22071218</v>
          </cell>
        </row>
        <row r="437">
          <cell r="C437" t="str">
            <v>22071231</v>
          </cell>
        </row>
        <row r="438">
          <cell r="C438">
            <v>22071356</v>
          </cell>
        </row>
        <row r="439">
          <cell r="C439">
            <v>22071365</v>
          </cell>
        </row>
        <row r="440">
          <cell r="C440">
            <v>22071481</v>
          </cell>
        </row>
        <row r="441">
          <cell r="C441">
            <v>22071517</v>
          </cell>
        </row>
        <row r="442">
          <cell r="C442" t="str">
            <v>22071603</v>
          </cell>
        </row>
        <row r="443">
          <cell r="C443" t="str">
            <v>22071675</v>
          </cell>
        </row>
        <row r="444">
          <cell r="C444" t="str">
            <v>22071836</v>
          </cell>
        </row>
        <row r="445">
          <cell r="C445" t="str">
            <v>22071971</v>
          </cell>
        </row>
        <row r="446">
          <cell r="C446" t="str">
            <v>22071979</v>
          </cell>
        </row>
        <row r="447">
          <cell r="C447" t="str">
            <v>22071988</v>
          </cell>
        </row>
        <row r="448">
          <cell r="C448">
            <v>22072109</v>
          </cell>
        </row>
        <row r="449">
          <cell r="C449">
            <v>22072256</v>
          </cell>
        </row>
        <row r="450">
          <cell r="C450">
            <v>22072347</v>
          </cell>
        </row>
        <row r="451">
          <cell r="C451">
            <v>22072367</v>
          </cell>
        </row>
        <row r="452">
          <cell r="C452">
            <v>22072386</v>
          </cell>
        </row>
        <row r="453">
          <cell r="C453">
            <v>22072516</v>
          </cell>
        </row>
        <row r="454">
          <cell r="C454"/>
        </row>
        <row r="455">
          <cell r="C455" t="str">
            <v>L207018</v>
          </cell>
        </row>
        <row r="456">
          <cell r="C456"/>
        </row>
        <row r="457">
          <cell r="C457" t="str">
            <v>JUG181/22</v>
          </cell>
        </row>
        <row r="458">
          <cell r="C458" t="str">
            <v>JUG182/22</v>
          </cell>
        </row>
        <row r="459">
          <cell r="C459"/>
        </row>
        <row r="460">
          <cell r="C460"/>
        </row>
        <row r="461">
          <cell r="C461"/>
        </row>
        <row r="462">
          <cell r="C462"/>
        </row>
        <row r="463">
          <cell r="C463"/>
        </row>
        <row r="464">
          <cell r="C464"/>
        </row>
        <row r="465">
          <cell r="C465"/>
        </row>
        <row r="466">
          <cell r="C466"/>
        </row>
        <row r="467">
          <cell r="C467"/>
        </row>
        <row r="468">
          <cell r="C468"/>
        </row>
        <row r="469">
          <cell r="C469"/>
        </row>
        <row r="470">
          <cell r="C470"/>
        </row>
        <row r="471">
          <cell r="C471"/>
        </row>
        <row r="472">
          <cell r="C472"/>
        </row>
        <row r="473">
          <cell r="C473"/>
        </row>
        <row r="474">
          <cell r="C474"/>
        </row>
        <row r="475">
          <cell r="C475"/>
        </row>
        <row r="476">
          <cell r="C476"/>
        </row>
        <row r="477">
          <cell r="C477" t="str">
            <v>JL-58417</v>
          </cell>
        </row>
        <row r="478">
          <cell r="C478"/>
        </row>
        <row r="479">
          <cell r="C479"/>
        </row>
        <row r="480">
          <cell r="C480"/>
        </row>
        <row r="481">
          <cell r="C481" t="str">
            <v>SA220811350</v>
          </cell>
        </row>
        <row r="482">
          <cell r="C482"/>
        </row>
        <row r="483">
          <cell r="C483"/>
        </row>
        <row r="484">
          <cell r="C484"/>
        </row>
        <row r="485">
          <cell r="C485"/>
        </row>
        <row r="486">
          <cell r="C486"/>
        </row>
        <row r="487">
          <cell r="C487"/>
        </row>
        <row r="488">
          <cell r="C488"/>
        </row>
        <row r="489">
          <cell r="C489" t="str">
            <v>22080016</v>
          </cell>
        </row>
        <row r="490">
          <cell r="C490" t="str">
            <v>22080130</v>
          </cell>
        </row>
        <row r="491">
          <cell r="C491" t="str">
            <v>22080147</v>
          </cell>
        </row>
        <row r="492">
          <cell r="C492" t="str">
            <v>22080199</v>
          </cell>
        </row>
        <row r="493">
          <cell r="C493"/>
        </row>
        <row r="494">
          <cell r="C494"/>
        </row>
        <row r="495">
          <cell r="C495"/>
        </row>
        <row r="496">
          <cell r="C496"/>
        </row>
        <row r="497">
          <cell r="C497"/>
        </row>
        <row r="498">
          <cell r="C498"/>
        </row>
        <row r="499">
          <cell r="C499"/>
        </row>
        <row r="500">
          <cell r="C500"/>
        </row>
        <row r="501">
          <cell r="C501"/>
        </row>
        <row r="502">
          <cell r="C502"/>
        </row>
        <row r="503">
          <cell r="C503"/>
        </row>
        <row r="504">
          <cell r="C504"/>
        </row>
        <row r="505">
          <cell r="C505"/>
        </row>
        <row r="506">
          <cell r="C506"/>
        </row>
        <row r="507">
          <cell r="C507"/>
        </row>
        <row r="508">
          <cell r="C508"/>
        </row>
        <row r="509">
          <cell r="C509"/>
        </row>
        <row r="510">
          <cell r="C510"/>
        </row>
        <row r="511">
          <cell r="C511"/>
        </row>
        <row r="512">
          <cell r="C512"/>
        </row>
        <row r="513">
          <cell r="C513"/>
        </row>
        <row r="514">
          <cell r="C514"/>
        </row>
        <row r="515">
          <cell r="C515"/>
        </row>
        <row r="516">
          <cell r="C516"/>
        </row>
        <row r="517">
          <cell r="C517"/>
        </row>
        <row r="518">
          <cell r="C518"/>
        </row>
        <row r="519">
          <cell r="C519"/>
        </row>
        <row r="520">
          <cell r="C520"/>
        </row>
        <row r="521">
          <cell r="C521"/>
        </row>
        <row r="522">
          <cell r="C522"/>
        </row>
        <row r="523">
          <cell r="C523"/>
        </row>
        <row r="524">
          <cell r="C524"/>
        </row>
        <row r="525">
          <cell r="C525"/>
        </row>
        <row r="526">
          <cell r="C526"/>
        </row>
        <row r="527">
          <cell r="C527"/>
        </row>
        <row r="528">
          <cell r="C528"/>
        </row>
        <row r="529">
          <cell r="C529"/>
        </row>
        <row r="530">
          <cell r="C530"/>
        </row>
        <row r="531">
          <cell r="C531"/>
        </row>
        <row r="532">
          <cell r="C532"/>
        </row>
        <row r="533">
          <cell r="C533"/>
        </row>
        <row r="534">
          <cell r="C534"/>
        </row>
        <row r="535">
          <cell r="C535"/>
        </row>
        <row r="536">
          <cell r="C536"/>
        </row>
        <row r="537">
          <cell r="C537"/>
        </row>
        <row r="538">
          <cell r="C538"/>
        </row>
        <row r="539">
          <cell r="C539"/>
        </row>
        <row r="540">
          <cell r="C540"/>
        </row>
        <row r="541">
          <cell r="C541"/>
        </row>
        <row r="542">
          <cell r="C542"/>
        </row>
        <row r="543">
          <cell r="C543"/>
        </row>
        <row r="544">
          <cell r="C544"/>
        </row>
        <row r="545">
          <cell r="C545"/>
        </row>
        <row r="546">
          <cell r="C546"/>
        </row>
        <row r="547">
          <cell r="C547"/>
        </row>
        <row r="548">
          <cell r="C548"/>
        </row>
        <row r="549">
          <cell r="C549"/>
        </row>
        <row r="550">
          <cell r="C550"/>
        </row>
        <row r="551">
          <cell r="C551"/>
        </row>
        <row r="552">
          <cell r="C552"/>
        </row>
        <row r="553">
          <cell r="C553"/>
        </row>
        <row r="554">
          <cell r="C554"/>
        </row>
        <row r="555">
          <cell r="C555"/>
        </row>
        <row r="556">
          <cell r="C556"/>
        </row>
        <row r="557">
          <cell r="C557"/>
        </row>
        <row r="558">
          <cell r="C558"/>
        </row>
        <row r="559">
          <cell r="C559"/>
        </row>
        <row r="560">
          <cell r="C560"/>
        </row>
        <row r="561">
          <cell r="C561"/>
        </row>
        <row r="562">
          <cell r="C562"/>
        </row>
        <row r="563">
          <cell r="C563"/>
        </row>
        <row r="564">
          <cell r="C564"/>
        </row>
        <row r="565">
          <cell r="C565"/>
        </row>
        <row r="566">
          <cell r="C566"/>
        </row>
        <row r="567">
          <cell r="C567"/>
        </row>
        <row r="568">
          <cell r="C568"/>
        </row>
        <row r="569">
          <cell r="C569"/>
        </row>
        <row r="570">
          <cell r="C570"/>
        </row>
        <row r="571">
          <cell r="C571"/>
        </row>
        <row r="572">
          <cell r="C572"/>
        </row>
        <row r="573">
          <cell r="C573"/>
        </row>
        <row r="574">
          <cell r="C574"/>
        </row>
        <row r="575">
          <cell r="C575"/>
        </row>
        <row r="576">
          <cell r="C576"/>
        </row>
        <row r="577">
          <cell r="C577"/>
        </row>
        <row r="578">
          <cell r="C578"/>
        </row>
        <row r="579">
          <cell r="C579"/>
        </row>
        <row r="580">
          <cell r="C580"/>
        </row>
        <row r="581">
          <cell r="C581"/>
        </row>
        <row r="582">
          <cell r="C582"/>
        </row>
        <row r="583">
          <cell r="C583"/>
        </row>
        <row r="584">
          <cell r="C584"/>
        </row>
        <row r="585">
          <cell r="C585"/>
        </row>
        <row r="586">
          <cell r="C586"/>
        </row>
        <row r="587">
          <cell r="C587"/>
        </row>
        <row r="588">
          <cell r="C588"/>
        </row>
        <row r="589">
          <cell r="C589"/>
        </row>
        <row r="590">
          <cell r="C590"/>
        </row>
        <row r="591">
          <cell r="C591"/>
        </row>
        <row r="592">
          <cell r="C592"/>
        </row>
        <row r="593">
          <cell r="C593"/>
        </row>
        <row r="594">
          <cell r="C594"/>
        </row>
        <row r="595">
          <cell r="C595"/>
        </row>
        <row r="596">
          <cell r="C596"/>
        </row>
        <row r="597">
          <cell r="C597"/>
        </row>
        <row r="598">
          <cell r="C598"/>
        </row>
        <row r="599">
          <cell r="C599"/>
        </row>
        <row r="600">
          <cell r="C600"/>
        </row>
        <row r="601">
          <cell r="C601"/>
        </row>
        <row r="602">
          <cell r="C602"/>
        </row>
        <row r="603">
          <cell r="C603"/>
        </row>
        <row r="604">
          <cell r="C604"/>
        </row>
        <row r="605">
          <cell r="C605"/>
        </row>
        <row r="606">
          <cell r="C606"/>
        </row>
        <row r="607">
          <cell r="C607"/>
        </row>
        <row r="608">
          <cell r="C608"/>
        </row>
        <row r="609">
          <cell r="C609"/>
        </row>
        <row r="610">
          <cell r="C610"/>
        </row>
        <row r="611">
          <cell r="C611"/>
        </row>
        <row r="612">
          <cell r="C612"/>
        </row>
        <row r="613">
          <cell r="C613"/>
        </row>
        <row r="614">
          <cell r="C614"/>
        </row>
        <row r="615">
          <cell r="C615"/>
        </row>
        <row r="616">
          <cell r="C616"/>
        </row>
        <row r="617">
          <cell r="C617"/>
        </row>
        <row r="618">
          <cell r="C618"/>
        </row>
        <row r="619">
          <cell r="C619"/>
        </row>
        <row r="620">
          <cell r="C620"/>
        </row>
        <row r="621">
          <cell r="C621"/>
        </row>
        <row r="622">
          <cell r="C622"/>
        </row>
        <row r="623">
          <cell r="C623"/>
        </row>
        <row r="624">
          <cell r="C624"/>
        </row>
        <row r="625">
          <cell r="C625"/>
        </row>
        <row r="626">
          <cell r="C626"/>
        </row>
        <row r="627">
          <cell r="C627"/>
        </row>
        <row r="628">
          <cell r="C628"/>
        </row>
        <row r="629">
          <cell r="C629"/>
        </row>
        <row r="630">
          <cell r="C630"/>
        </row>
        <row r="631">
          <cell r="C631"/>
        </row>
        <row r="632">
          <cell r="C632"/>
        </row>
        <row r="633">
          <cell r="C633"/>
        </row>
        <row r="634">
          <cell r="C634"/>
        </row>
        <row r="635">
          <cell r="C635"/>
        </row>
        <row r="636">
          <cell r="C636"/>
        </row>
        <row r="637">
          <cell r="C637"/>
        </row>
        <row r="638">
          <cell r="C638"/>
        </row>
        <row r="639">
          <cell r="C639"/>
        </row>
        <row r="640">
          <cell r="C640"/>
        </row>
        <row r="641">
          <cell r="C641"/>
        </row>
        <row r="642">
          <cell r="C642"/>
        </row>
        <row r="643">
          <cell r="C643"/>
        </row>
        <row r="644">
          <cell r="C644"/>
        </row>
        <row r="645">
          <cell r="C645"/>
        </row>
        <row r="646">
          <cell r="C646"/>
        </row>
        <row r="647">
          <cell r="C647"/>
        </row>
        <row r="648">
          <cell r="C648"/>
        </row>
        <row r="649">
          <cell r="C649"/>
        </row>
        <row r="650">
          <cell r="C650"/>
        </row>
        <row r="651">
          <cell r="C651"/>
        </row>
        <row r="652">
          <cell r="C652"/>
        </row>
        <row r="653">
          <cell r="C653"/>
        </row>
        <row r="654">
          <cell r="C654"/>
        </row>
        <row r="655">
          <cell r="C655"/>
        </row>
        <row r="656">
          <cell r="C656"/>
        </row>
        <row r="657">
          <cell r="C657"/>
        </row>
        <row r="658">
          <cell r="C658"/>
        </row>
        <row r="659">
          <cell r="C659"/>
        </row>
        <row r="660">
          <cell r="C660"/>
        </row>
        <row r="661">
          <cell r="C661"/>
        </row>
        <row r="662">
          <cell r="C662"/>
        </row>
        <row r="663">
          <cell r="C663"/>
        </row>
        <row r="664">
          <cell r="C664"/>
        </row>
        <row r="665">
          <cell r="C665"/>
        </row>
        <row r="666">
          <cell r="C666"/>
        </row>
        <row r="667">
          <cell r="C667"/>
        </row>
        <row r="668">
          <cell r="C668"/>
        </row>
        <row r="669">
          <cell r="C669"/>
        </row>
        <row r="670">
          <cell r="C670"/>
        </row>
        <row r="671">
          <cell r="C671"/>
        </row>
        <row r="672">
          <cell r="C672"/>
        </row>
        <row r="673">
          <cell r="C673"/>
        </row>
        <row r="674">
          <cell r="C674"/>
        </row>
        <row r="675">
          <cell r="C675"/>
        </row>
        <row r="676">
          <cell r="C676"/>
        </row>
        <row r="677">
          <cell r="C677"/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/>
        </row>
        <row r="691">
          <cell r="C691"/>
        </row>
        <row r="692">
          <cell r="C692"/>
        </row>
        <row r="693">
          <cell r="C693"/>
        </row>
        <row r="694">
          <cell r="C694"/>
        </row>
        <row r="695">
          <cell r="C695"/>
        </row>
        <row r="696">
          <cell r="C696"/>
        </row>
        <row r="697">
          <cell r="C697"/>
        </row>
        <row r="698">
          <cell r="C698"/>
        </row>
        <row r="699">
          <cell r="C699"/>
        </row>
        <row r="700">
          <cell r="C700"/>
        </row>
        <row r="701">
          <cell r="C701"/>
        </row>
        <row r="702">
          <cell r="C702"/>
        </row>
        <row r="703">
          <cell r="C703"/>
        </row>
        <row r="704">
          <cell r="C704"/>
        </row>
        <row r="705">
          <cell r="C705"/>
        </row>
        <row r="706">
          <cell r="C706"/>
        </row>
        <row r="707">
          <cell r="C707"/>
        </row>
        <row r="708">
          <cell r="C708"/>
        </row>
        <row r="709">
          <cell r="C709"/>
        </row>
        <row r="710">
          <cell r="C710"/>
        </row>
        <row r="711">
          <cell r="C711"/>
        </row>
        <row r="712">
          <cell r="C712"/>
        </row>
        <row r="713">
          <cell r="C713"/>
        </row>
        <row r="714">
          <cell r="C714"/>
        </row>
        <row r="715">
          <cell r="C715"/>
        </row>
        <row r="716">
          <cell r="C716"/>
        </row>
        <row r="717">
          <cell r="C717"/>
        </row>
        <row r="718">
          <cell r="C718"/>
        </row>
        <row r="719">
          <cell r="C719"/>
        </row>
        <row r="720">
          <cell r="C720"/>
        </row>
        <row r="721">
          <cell r="C721"/>
        </row>
        <row r="722">
          <cell r="C722"/>
        </row>
        <row r="723">
          <cell r="C723"/>
        </row>
        <row r="724">
          <cell r="C724"/>
        </row>
        <row r="725">
          <cell r="C725"/>
        </row>
        <row r="726">
          <cell r="C726"/>
        </row>
        <row r="727">
          <cell r="C727"/>
        </row>
        <row r="728">
          <cell r="C728"/>
        </row>
        <row r="729">
          <cell r="C729"/>
        </row>
        <row r="730">
          <cell r="C730"/>
        </row>
        <row r="731">
          <cell r="C731"/>
        </row>
        <row r="732">
          <cell r="C732"/>
        </row>
        <row r="733">
          <cell r="C733"/>
        </row>
        <row r="734">
          <cell r="C734"/>
        </row>
        <row r="735">
          <cell r="C735"/>
        </row>
        <row r="736">
          <cell r="C736"/>
        </row>
        <row r="737">
          <cell r="C737"/>
        </row>
        <row r="738">
          <cell r="C738"/>
        </row>
        <row r="739">
          <cell r="C739"/>
        </row>
        <row r="740">
          <cell r="C740"/>
        </row>
        <row r="741">
          <cell r="C741"/>
        </row>
        <row r="742">
          <cell r="C742"/>
        </row>
        <row r="743">
          <cell r="C743"/>
        </row>
        <row r="744">
          <cell r="C744"/>
        </row>
        <row r="745">
          <cell r="C745"/>
        </row>
        <row r="746">
          <cell r="C746"/>
        </row>
        <row r="747">
          <cell r="C747"/>
        </row>
        <row r="748">
          <cell r="C748"/>
        </row>
        <row r="749">
          <cell r="C749"/>
        </row>
        <row r="750">
          <cell r="C750"/>
        </row>
        <row r="751">
          <cell r="C751"/>
        </row>
        <row r="752">
          <cell r="C752"/>
        </row>
        <row r="753">
          <cell r="C753"/>
        </row>
        <row r="754">
          <cell r="C754"/>
        </row>
        <row r="755">
          <cell r="C755"/>
        </row>
        <row r="756">
          <cell r="C756"/>
        </row>
        <row r="758">
          <cell r="C758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"/>
      <sheetName val="AM"/>
      <sheetName val="KS"/>
      <sheetName val="99"/>
      <sheetName val="LMA"/>
      <sheetName val="MGN"/>
      <sheetName val="DTIJ"/>
      <sheetName val="SAJ"/>
      <sheetName val="ELA"/>
      <sheetName val="RB"/>
      <sheetName val="KM (LA)"/>
    </sheetNames>
    <sheetDataSet>
      <sheetData sheetId="0"/>
      <sheetData sheetId="1"/>
      <sheetData sheetId="2">
        <row r="1">
          <cell r="A1" t="str">
            <v>DAFTAR BARANG DATANG 2022</v>
          </cell>
          <cell r="D1"/>
        </row>
        <row r="2">
          <cell r="A2" t="str">
            <v>PT KALINDO SUKSES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SN22010077</v>
          </cell>
        </row>
        <row r="6">
          <cell r="A6"/>
          <cell r="D6"/>
        </row>
        <row r="7">
          <cell r="A7"/>
          <cell r="D7"/>
        </row>
        <row r="8">
          <cell r="A8"/>
          <cell r="D8"/>
        </row>
        <row r="9">
          <cell r="A9"/>
          <cell r="D9"/>
        </row>
        <row r="10">
          <cell r="A10"/>
          <cell r="D10"/>
        </row>
        <row r="11">
          <cell r="A11"/>
          <cell r="D11"/>
        </row>
        <row r="12">
          <cell r="A12"/>
          <cell r="D12"/>
        </row>
        <row r="13">
          <cell r="A13">
            <v>2</v>
          </cell>
          <cell r="D13" t="str">
            <v>SN22010076</v>
          </cell>
        </row>
        <row r="14">
          <cell r="A14"/>
          <cell r="D14"/>
        </row>
        <row r="15">
          <cell r="A15"/>
          <cell r="D15"/>
        </row>
        <row r="16">
          <cell r="A16"/>
          <cell r="D16"/>
        </row>
        <row r="17">
          <cell r="A17"/>
          <cell r="D17"/>
        </row>
        <row r="18">
          <cell r="A18"/>
          <cell r="D18"/>
        </row>
        <row r="19">
          <cell r="A19"/>
          <cell r="D19"/>
        </row>
        <row r="20">
          <cell r="A20"/>
          <cell r="D20"/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>
            <v>3</v>
          </cell>
          <cell r="D24" t="str">
            <v>SN22010132</v>
          </cell>
        </row>
        <row r="25">
          <cell r="A25"/>
          <cell r="D25"/>
        </row>
        <row r="26">
          <cell r="A26">
            <v>4</v>
          </cell>
          <cell r="D26" t="str">
            <v>SN22010227</v>
          </cell>
        </row>
        <row r="27">
          <cell r="A27" t="str">
            <v>FEBRUARI</v>
          </cell>
          <cell r="D27"/>
        </row>
        <row r="28">
          <cell r="A28">
            <v>1</v>
          </cell>
          <cell r="D28" t="str">
            <v>SN22020266</v>
          </cell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>
            <v>2</v>
          </cell>
          <cell r="D37" t="str">
            <v>SN22020308</v>
          </cell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 t="str">
            <v>MARET</v>
          </cell>
          <cell r="D41"/>
        </row>
        <row r="42">
          <cell r="A42">
            <v>1</v>
          </cell>
          <cell r="D42" t="str">
            <v>SN22030564</v>
          </cell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 t="str">
            <v>APRIL</v>
          </cell>
          <cell r="D46"/>
        </row>
        <row r="47">
          <cell r="A47">
            <v>1</v>
          </cell>
          <cell r="D47" t="str">
            <v>SN22040638</v>
          </cell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>
            <v>2</v>
          </cell>
          <cell r="D55" t="str">
            <v>SN22040698</v>
          </cell>
        </row>
        <row r="56">
          <cell r="A56"/>
          <cell r="D56"/>
        </row>
        <row r="57">
          <cell r="A57"/>
          <cell r="D57"/>
        </row>
        <row r="58">
          <cell r="A58">
            <v>3</v>
          </cell>
          <cell r="D58" t="str">
            <v>SN22040706</v>
          </cell>
        </row>
        <row r="59">
          <cell r="A59" t="str">
            <v>MEI</v>
          </cell>
          <cell r="D59"/>
        </row>
        <row r="60">
          <cell r="A60">
            <v>1</v>
          </cell>
          <cell r="D60" t="str">
            <v>SN22050870</v>
          </cell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>
            <v>2</v>
          </cell>
          <cell r="D71" t="str">
            <v>SN22050872</v>
          </cell>
        </row>
        <row r="72">
          <cell r="A72"/>
          <cell r="D72"/>
        </row>
        <row r="73">
          <cell r="A73">
            <v>3</v>
          </cell>
          <cell r="D73" t="str">
            <v>SN22050958</v>
          </cell>
        </row>
        <row r="74">
          <cell r="A74"/>
          <cell r="D74"/>
        </row>
        <row r="75">
          <cell r="A75" t="str">
            <v>JUNI</v>
          </cell>
          <cell r="D75"/>
        </row>
        <row r="76">
          <cell r="A76">
            <v>1</v>
          </cell>
          <cell r="D76" t="str">
            <v>SN22060995</v>
          </cell>
        </row>
        <row r="77">
          <cell r="A77" t="str">
            <v>JULI</v>
          </cell>
          <cell r="D77"/>
        </row>
        <row r="78">
          <cell r="A78">
            <v>1</v>
          </cell>
          <cell r="D78" t="str">
            <v>SN22071265</v>
          </cell>
        </row>
        <row r="79">
          <cell r="A79"/>
          <cell r="D79" t="str">
            <v/>
          </cell>
        </row>
        <row r="80">
          <cell r="A80"/>
          <cell r="D80" t="str">
            <v/>
          </cell>
        </row>
        <row r="81">
          <cell r="A81"/>
          <cell r="D81" t="str">
            <v/>
          </cell>
        </row>
        <row r="82">
          <cell r="A82">
            <v>2</v>
          </cell>
          <cell r="D82" t="str">
            <v>SN22071278</v>
          </cell>
        </row>
        <row r="83">
          <cell r="A83"/>
          <cell r="D83" t="str">
            <v/>
          </cell>
        </row>
        <row r="84">
          <cell r="A84"/>
          <cell r="D84" t="str">
            <v/>
          </cell>
        </row>
        <row r="85">
          <cell r="A85"/>
          <cell r="D85" t="str">
            <v/>
          </cell>
        </row>
        <row r="86">
          <cell r="A86">
            <v>3</v>
          </cell>
          <cell r="D86" t="str">
            <v>SN22071413</v>
          </cell>
        </row>
        <row r="87">
          <cell r="A87"/>
          <cell r="D87" t="str">
            <v/>
          </cell>
        </row>
        <row r="88">
          <cell r="A88"/>
          <cell r="D88" t="str">
            <v/>
          </cell>
        </row>
        <row r="89">
          <cell r="A89"/>
          <cell r="D89" t="str">
            <v/>
          </cell>
        </row>
        <row r="90">
          <cell r="A90">
            <v>4</v>
          </cell>
          <cell r="D90" t="str">
            <v>SN22071418</v>
          </cell>
        </row>
        <row r="91">
          <cell r="A91" t="str">
            <v>AGUSTUS</v>
          </cell>
          <cell r="D91" t="str">
            <v/>
          </cell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  <row r="277">
          <cell r="A277"/>
          <cell r="D277"/>
        </row>
        <row r="278">
          <cell r="A278"/>
          <cell r="D278"/>
        </row>
        <row r="279">
          <cell r="A279"/>
          <cell r="D279"/>
        </row>
        <row r="280">
          <cell r="A280"/>
          <cell r="D280"/>
        </row>
        <row r="281">
          <cell r="A281"/>
          <cell r="D281"/>
        </row>
        <row r="282">
          <cell r="A282"/>
          <cell r="D282"/>
        </row>
        <row r="283">
          <cell r="A283"/>
          <cell r="D283"/>
        </row>
        <row r="284">
          <cell r="A284"/>
          <cell r="D284"/>
        </row>
        <row r="285">
          <cell r="A285"/>
          <cell r="D285"/>
        </row>
        <row r="286">
          <cell r="A286"/>
          <cell r="D286"/>
        </row>
        <row r="287">
          <cell r="A287"/>
          <cell r="D287"/>
        </row>
        <row r="288">
          <cell r="A288"/>
          <cell r="D288"/>
        </row>
        <row r="289">
          <cell r="A289"/>
          <cell r="D289"/>
        </row>
        <row r="290">
          <cell r="A290"/>
          <cell r="D290"/>
        </row>
      </sheetData>
      <sheetData sheetId="3">
        <row r="1">
          <cell r="A1" t="str">
            <v>DAFTAR BARANG DATANG 2022</v>
          </cell>
          <cell r="D1"/>
        </row>
        <row r="2">
          <cell r="A2" t="str">
            <v>PT SEMBILAN-SEMBILAN JAYA UTAMA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JUA044/22</v>
          </cell>
        </row>
        <row r="6">
          <cell r="A6"/>
          <cell r="D6"/>
        </row>
        <row r="7">
          <cell r="A7"/>
          <cell r="D7"/>
        </row>
        <row r="8">
          <cell r="A8"/>
          <cell r="D8"/>
        </row>
        <row r="9">
          <cell r="A9"/>
          <cell r="D9"/>
        </row>
        <row r="10">
          <cell r="A10"/>
          <cell r="D10"/>
        </row>
        <row r="11">
          <cell r="A11"/>
          <cell r="D11"/>
        </row>
        <row r="12">
          <cell r="A12">
            <v>2</v>
          </cell>
          <cell r="D12" t="str">
            <v>JUA045/22</v>
          </cell>
        </row>
        <row r="13">
          <cell r="A13"/>
          <cell r="D13"/>
        </row>
        <row r="14">
          <cell r="A14"/>
          <cell r="D14"/>
        </row>
        <row r="15">
          <cell r="A15"/>
          <cell r="D15"/>
        </row>
        <row r="16">
          <cell r="A16"/>
          <cell r="D16"/>
        </row>
        <row r="17">
          <cell r="A17"/>
          <cell r="D17"/>
        </row>
        <row r="18">
          <cell r="A18"/>
          <cell r="D18"/>
        </row>
        <row r="19">
          <cell r="A19"/>
          <cell r="D19"/>
        </row>
        <row r="20">
          <cell r="A20">
            <v>3</v>
          </cell>
          <cell r="D20" t="str">
            <v>JUA353/22</v>
          </cell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/>
          <cell r="D24"/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>
            <v>4</v>
          </cell>
          <cell r="D31" t="str">
            <v>JUA354</v>
          </cell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>
            <v>5</v>
          </cell>
          <cell r="D36" t="str">
            <v>JUA426/22</v>
          </cell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 t="str">
            <v>FEBRUARI</v>
          </cell>
          <cell r="D45"/>
        </row>
        <row r="46">
          <cell r="A46">
            <v>1</v>
          </cell>
          <cell r="D46" t="str">
            <v>JUB015/22</v>
          </cell>
        </row>
        <row r="47">
          <cell r="A47"/>
          <cell r="D47"/>
        </row>
        <row r="48">
          <cell r="A48">
            <v>2</v>
          </cell>
          <cell r="D48" t="str">
            <v>JUB161/22</v>
          </cell>
        </row>
        <row r="49">
          <cell r="A49"/>
          <cell r="D49"/>
        </row>
        <row r="50">
          <cell r="A50" t="str">
            <v>MARET</v>
          </cell>
          <cell r="D50"/>
        </row>
        <row r="51">
          <cell r="A51">
            <v>1</v>
          </cell>
          <cell r="D51" t="str">
            <v>JUC489/22</v>
          </cell>
        </row>
        <row r="52">
          <cell r="A52"/>
          <cell r="D52"/>
        </row>
        <row r="53">
          <cell r="A53"/>
          <cell r="D53"/>
        </row>
        <row r="54">
          <cell r="A54">
            <v>2</v>
          </cell>
          <cell r="D54" t="str">
            <v>JUC613/22</v>
          </cell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 t="str">
            <v>APRIL</v>
          </cell>
          <cell r="D64"/>
        </row>
        <row r="65">
          <cell r="A65">
            <v>1</v>
          </cell>
          <cell r="D65" t="str">
            <v>JUD123/22</v>
          </cell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>
            <v>2</v>
          </cell>
          <cell r="D76" t="str">
            <v>JUD196/22</v>
          </cell>
        </row>
        <row r="77">
          <cell r="A77"/>
          <cell r="D77" t="str">
            <v>JUD303/22</v>
          </cell>
        </row>
        <row r="78">
          <cell r="A78" t="str">
            <v>MEI</v>
          </cell>
          <cell r="D78"/>
        </row>
        <row r="79">
          <cell r="A79">
            <v>1</v>
          </cell>
          <cell r="D79" t="str">
            <v>JUE298/22</v>
          </cell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 t="str">
            <v>JUNI</v>
          </cell>
          <cell r="D86"/>
        </row>
        <row r="87">
          <cell r="A87">
            <v>1</v>
          </cell>
          <cell r="D87" t="str">
            <v>JUF681/22</v>
          </cell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 t="str">
            <v>JULI</v>
          </cell>
          <cell r="D92"/>
        </row>
        <row r="93">
          <cell r="A93">
            <v>1</v>
          </cell>
          <cell r="D93" t="str">
            <v>JUG181/22</v>
          </cell>
        </row>
        <row r="94">
          <cell r="A94"/>
          <cell r="D94" t="str">
            <v/>
          </cell>
        </row>
        <row r="95">
          <cell r="A95"/>
          <cell r="D95" t="str">
            <v/>
          </cell>
        </row>
        <row r="96">
          <cell r="A96"/>
          <cell r="D96" t="str">
            <v/>
          </cell>
        </row>
        <row r="97">
          <cell r="A97"/>
          <cell r="D97" t="str">
            <v/>
          </cell>
        </row>
        <row r="98">
          <cell r="A98"/>
          <cell r="D98" t="str">
            <v/>
          </cell>
        </row>
        <row r="99">
          <cell r="A99"/>
          <cell r="D99" t="str">
            <v/>
          </cell>
        </row>
        <row r="100">
          <cell r="A100"/>
          <cell r="D100" t="str">
            <v/>
          </cell>
        </row>
        <row r="101">
          <cell r="A101"/>
          <cell r="D101" t="str">
            <v/>
          </cell>
        </row>
        <row r="102">
          <cell r="A102">
            <v>2</v>
          </cell>
          <cell r="D102" t="str">
            <v>JUG182/22</v>
          </cell>
        </row>
        <row r="103">
          <cell r="A103"/>
          <cell r="D103" t="str">
            <v/>
          </cell>
        </row>
        <row r="104">
          <cell r="A104"/>
          <cell r="D104" t="str">
            <v/>
          </cell>
        </row>
        <row r="105">
          <cell r="A105"/>
          <cell r="D105" t="str">
            <v/>
          </cell>
        </row>
        <row r="106">
          <cell r="A106"/>
          <cell r="D106" t="str">
            <v/>
          </cell>
        </row>
        <row r="107">
          <cell r="A107"/>
          <cell r="D107" t="str">
            <v/>
          </cell>
        </row>
        <row r="108">
          <cell r="A108"/>
          <cell r="D108" t="str">
            <v/>
          </cell>
        </row>
        <row r="109">
          <cell r="A109" t="str">
            <v>AGUSTUS</v>
          </cell>
          <cell r="D109" t="str">
            <v/>
          </cell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  <row r="277">
          <cell r="A277"/>
          <cell r="D277"/>
        </row>
        <row r="278">
          <cell r="A278"/>
          <cell r="D278"/>
        </row>
        <row r="279">
          <cell r="A279"/>
          <cell r="D279"/>
        </row>
        <row r="280">
          <cell r="A280"/>
          <cell r="D280"/>
        </row>
        <row r="281">
          <cell r="A281"/>
          <cell r="D281"/>
        </row>
        <row r="282">
          <cell r="A282"/>
          <cell r="D282"/>
        </row>
        <row r="283">
          <cell r="A283"/>
          <cell r="D283"/>
        </row>
        <row r="284">
          <cell r="A284"/>
          <cell r="D284"/>
        </row>
        <row r="285">
          <cell r="A285"/>
          <cell r="D285"/>
        </row>
        <row r="286">
          <cell r="A286"/>
          <cell r="D286"/>
        </row>
        <row r="287">
          <cell r="A287"/>
          <cell r="D287"/>
        </row>
        <row r="288">
          <cell r="A288"/>
          <cell r="D288"/>
        </row>
        <row r="289">
          <cell r="A289"/>
          <cell r="D289"/>
        </row>
        <row r="290">
          <cell r="A290"/>
          <cell r="D290"/>
        </row>
        <row r="291">
          <cell r="A291"/>
          <cell r="D291"/>
        </row>
        <row r="292">
          <cell r="A292"/>
          <cell r="D292"/>
        </row>
        <row r="293">
          <cell r="A293"/>
          <cell r="D293"/>
        </row>
        <row r="294">
          <cell r="A294"/>
          <cell r="D294"/>
        </row>
        <row r="295">
          <cell r="A295"/>
          <cell r="D295"/>
        </row>
        <row r="296">
          <cell r="A296"/>
          <cell r="D296"/>
        </row>
        <row r="297">
          <cell r="A297"/>
          <cell r="D297"/>
        </row>
        <row r="298">
          <cell r="A298"/>
          <cell r="D298"/>
        </row>
        <row r="299">
          <cell r="A299"/>
          <cell r="D299"/>
        </row>
        <row r="300">
          <cell r="A300"/>
          <cell r="D300"/>
        </row>
        <row r="301">
          <cell r="A301"/>
          <cell r="D301"/>
        </row>
        <row r="302">
          <cell r="A302"/>
          <cell r="D302"/>
        </row>
        <row r="303">
          <cell r="A303"/>
          <cell r="D303"/>
        </row>
        <row r="304">
          <cell r="A304"/>
          <cell r="D304"/>
        </row>
        <row r="305">
          <cell r="A305"/>
          <cell r="D305"/>
        </row>
        <row r="306">
          <cell r="A306"/>
          <cell r="D306"/>
        </row>
        <row r="307">
          <cell r="A307"/>
          <cell r="D307"/>
        </row>
        <row r="308">
          <cell r="A308"/>
          <cell r="D308"/>
        </row>
        <row r="309">
          <cell r="A309"/>
          <cell r="D309"/>
        </row>
        <row r="310">
          <cell r="A310"/>
          <cell r="D310"/>
        </row>
      </sheetData>
      <sheetData sheetId="4"/>
      <sheetData sheetId="5">
        <row r="1">
          <cell r="A1" t="str">
            <v>DAFTAR BARANG DATANG 2022</v>
          </cell>
          <cell r="D1"/>
        </row>
        <row r="2">
          <cell r="A2" t="str">
            <v>PT MITRA GLOBAL NIAGA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L101050</v>
          </cell>
        </row>
        <row r="6">
          <cell r="A6"/>
          <cell r="D6"/>
        </row>
        <row r="7">
          <cell r="A7">
            <v>2</v>
          </cell>
          <cell r="D7" t="str">
            <v>L201006</v>
          </cell>
        </row>
        <row r="8">
          <cell r="A8">
            <v>3</v>
          </cell>
          <cell r="D8" t="str">
            <v>L201011</v>
          </cell>
        </row>
        <row r="9">
          <cell r="A9" t="str">
            <v>FEBRUARI</v>
          </cell>
          <cell r="D9"/>
        </row>
        <row r="10">
          <cell r="A10">
            <v>1</v>
          </cell>
          <cell r="D10" t="str">
            <v>L202021</v>
          </cell>
        </row>
        <row r="11">
          <cell r="A11">
            <v>2</v>
          </cell>
          <cell r="D11" t="str">
            <v>L202041</v>
          </cell>
        </row>
        <row r="12">
          <cell r="A12" t="str">
            <v>MARET</v>
          </cell>
          <cell r="D12"/>
        </row>
        <row r="13">
          <cell r="A13">
            <v>1</v>
          </cell>
          <cell r="D13" t="str">
            <v>L103027</v>
          </cell>
        </row>
        <row r="14">
          <cell r="A14">
            <v>2</v>
          </cell>
          <cell r="D14" t="str">
            <v>L303049</v>
          </cell>
        </row>
        <row r="15">
          <cell r="A15" t="str">
            <v>APRIL</v>
          </cell>
          <cell r="D15"/>
        </row>
        <row r="16">
          <cell r="A16">
            <v>1</v>
          </cell>
          <cell r="D16" t="str">
            <v>L104005</v>
          </cell>
        </row>
        <row r="17">
          <cell r="A17">
            <v>2</v>
          </cell>
          <cell r="D17" t="str">
            <v>L204025</v>
          </cell>
        </row>
        <row r="18">
          <cell r="A18">
            <v>3</v>
          </cell>
          <cell r="D18" t="str">
            <v>L304004</v>
          </cell>
        </row>
        <row r="19">
          <cell r="A19" t="str">
            <v>MEI</v>
          </cell>
          <cell r="D19"/>
        </row>
        <row r="20">
          <cell r="A20">
            <v>1</v>
          </cell>
          <cell r="D20" t="str">
            <v>L105006</v>
          </cell>
        </row>
        <row r="21">
          <cell r="A21" t="str">
            <v>JUNI</v>
          </cell>
          <cell r="D21"/>
        </row>
        <row r="22">
          <cell r="A22">
            <v>1</v>
          </cell>
          <cell r="D22" t="str">
            <v>L806060</v>
          </cell>
        </row>
        <row r="23">
          <cell r="A23" t="str">
            <v>JULI</v>
          </cell>
          <cell r="D23"/>
        </row>
        <row r="24">
          <cell r="A24">
            <v>1</v>
          </cell>
          <cell r="D24" t="str">
            <v>L207018</v>
          </cell>
        </row>
        <row r="25">
          <cell r="A25" t="str">
            <v>AGUSTUS</v>
          </cell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/>
          <cell r="D46"/>
        </row>
        <row r="47">
          <cell r="A47"/>
          <cell r="D47"/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/>
          <cell r="D76"/>
        </row>
        <row r="77">
          <cell r="A77"/>
          <cell r="D77"/>
        </row>
        <row r="78">
          <cell r="A78"/>
          <cell r="D78"/>
        </row>
        <row r="79">
          <cell r="A79"/>
          <cell r="D79"/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/>
          <cell r="D86"/>
        </row>
        <row r="87">
          <cell r="A87"/>
          <cell r="D87"/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</sheetData>
      <sheetData sheetId="6"/>
      <sheetData sheetId="7">
        <row r="1">
          <cell r="A1" t="str">
            <v>DAFTAR BARANG DATANG 2022</v>
          </cell>
          <cell r="D1"/>
        </row>
        <row r="2">
          <cell r="A2" t="str">
            <v>CV SAMUDERA ANGKASA JAYA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JL-14208</v>
          </cell>
        </row>
        <row r="6">
          <cell r="A6">
            <v>2</v>
          </cell>
          <cell r="D6" t="str">
            <v>JL-14361</v>
          </cell>
        </row>
        <row r="7">
          <cell r="A7" t="str">
            <v>MARET</v>
          </cell>
          <cell r="D7"/>
        </row>
        <row r="8">
          <cell r="A8">
            <v>1</v>
          </cell>
          <cell r="D8" t="str">
            <v>JL-31969</v>
          </cell>
        </row>
        <row r="9">
          <cell r="A9"/>
          <cell r="D9"/>
        </row>
        <row r="10">
          <cell r="A10"/>
          <cell r="D10"/>
        </row>
        <row r="11">
          <cell r="A11" t="str">
            <v>MEI</v>
          </cell>
          <cell r="D11"/>
        </row>
        <row r="12">
          <cell r="A12">
            <v>1</v>
          </cell>
          <cell r="D12" t="str">
            <v>JL-22855</v>
          </cell>
        </row>
        <row r="13">
          <cell r="A13" t="str">
            <v>JUNI</v>
          </cell>
          <cell r="D13"/>
        </row>
        <row r="14">
          <cell r="A14">
            <v>1</v>
          </cell>
          <cell r="D14" t="str">
            <v>JL-68845</v>
          </cell>
        </row>
        <row r="15">
          <cell r="A15"/>
          <cell r="D15" t="str">
            <v/>
          </cell>
        </row>
        <row r="16">
          <cell r="A16"/>
          <cell r="D16" t="str">
            <v/>
          </cell>
        </row>
        <row r="17">
          <cell r="A17" t="str">
            <v>JULI</v>
          </cell>
          <cell r="D17"/>
        </row>
        <row r="18">
          <cell r="A18">
            <v>1</v>
          </cell>
          <cell r="D18" t="str">
            <v>JL-58302</v>
          </cell>
        </row>
        <row r="19">
          <cell r="A19" t="str">
            <v>AGUSTUS</v>
          </cell>
          <cell r="D19"/>
        </row>
        <row r="20">
          <cell r="A20"/>
          <cell r="D20"/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/>
          <cell r="D24"/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/>
          <cell r="D46"/>
        </row>
        <row r="47">
          <cell r="A47"/>
          <cell r="D47"/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/>
          <cell r="D76"/>
        </row>
        <row r="77">
          <cell r="A77"/>
          <cell r="D77"/>
        </row>
        <row r="78">
          <cell r="A78"/>
          <cell r="D78"/>
        </row>
        <row r="79">
          <cell r="A79"/>
          <cell r="D79"/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/>
          <cell r="D86"/>
        </row>
        <row r="87">
          <cell r="A87"/>
          <cell r="D87"/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</sheetData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2:P90" totalsRowCount="1">
  <autoFilter ref="A2:P89"/>
  <tableColumns count="16">
    <tableColumn id="15" name="CEK" totalsRowLabel="Total" dataDxfId="189" totalsRowDxfId="188">
      <calculatedColumnFormula>IF(Table1[[#This Row],[NAMA SUPPLIER]]="","",MATCH(Table1[[#This Row],[N_ID]],INDIRECT(Table1[[#This Row],[1_h]]&amp;"[N_ID]"),0))</calculatedColumnFormula>
    </tableColumn>
    <tableColumn id="1" name="N_ID" dataDxfId="187" totalsRowDxfId="186"/>
    <tableColumn id="2" name="ID" dataDxfId="185" totalsRowDxfId="184">
      <calculatedColumnFormula>_xlfn.IFNA(INDEX([2]!PAJAK[ID],MATCH(Table1[[#This Row],[N_ID]],[2]!PAJAK[ID_P],0)),"")</calculatedColumnFormula>
    </tableColumn>
    <tableColumn id="3" name="QB" dataDxfId="183" totalsRowDxfId="182">
      <calculatedColumnFormula>IF(Table1[[#This Row],[ID]]="","",INDEX([2]!PAJAK[QB],MATCH(Table1[[#This Row],[ID]],[2]!PAJAK[ID],0)))</calculatedColumnFormula>
    </tableColumn>
    <tableColumn id="4" name="TGL BARANG DATANG" dataDxfId="181">
      <calculatedColumnFormula>INDEX([2]!PAJAK[TGL.MASUK],MATCH(Table1[[#This Row],[ID]],[2]!PAJAK[ID],0))</calculatedColumnFormula>
    </tableColumn>
    <tableColumn id="5" name="TANGGAL FAKTUR" dataDxfId="180">
      <calculatedColumnFormula>INDEX([2]!PAJAK[TGL.NOTA],MATCH(Table1[[#This Row],[ID]],[2]!PAJAK[ID],0))</calculatedColumnFormula>
    </tableColumn>
    <tableColumn id="6" name="NO. INVOICE" dataDxfId="179" totalsRowDxfId="178">
      <calculatedColumnFormula>INDEX([2]!PAJAK[NO.NOTA],MATCH(Table1[[#This Row],[ID]],[2]!PAJAK[ID],0))</calculatedColumnFormula>
    </tableColumn>
    <tableColumn id="7" name="NPWP"/>
    <tableColumn id="8" name="NAMA SUPPLIER" dataDxfId="177">
      <calculatedColumnFormula>INDEX([2]!PAJAK[SUPPLIER],MATCH(Table1[[#This Row],[ID]],[2]!PAJAK[ID],0))</calculatedColumnFormula>
    </tableColumn>
    <tableColumn id="9" name="SUB TOTAL" totalsRowFunction="sum" dataDxfId="176" totalsRowDxfId="17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totalsRowFunction="sum" dataDxfId="174" totalsRowDxfId="173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totalsRowFunction="sum" dataDxfId="172" totalsRowDxfId="171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totalsRowFunction="sum" dataDxfId="170" totalsRowDxfId="169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totalsRowFunction="sum" dataDxfId="168" totalsRowDxfId="167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166" totalsRowDxfId="165">
      <calculatedColumnFormula>IF(Table1[[#This Row],[NAMA SUPPLIER]]="","",INDEX(conv1[2],MATCH(Table1[[#This Row],[NAMA SUPPLIER]],conv1[1],0)))</calculatedColumnFormula>
    </tableColumn>
    <tableColumn id="17" name="cek2" dataDxfId="164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ATALI" displayName="ATALI" ref="A2:Y269" totalsRowShown="0" headerRowDxfId="162">
  <autoFilter ref="A2:Y269"/>
  <tableColumns count="25">
    <tableColumn id="1" name="N_ID" dataDxfId="161"/>
    <tableColumn id="2" name="ID NOTA" dataDxfId="160">
      <calculatedColumnFormula>IF(ATALI[[#This Row],[N_ID]]="","",INDEX(Table1[ID],MATCH(ATALI[[#This Row],[N_ID]],Table1[N_ID],0)))</calculatedColumnFormula>
    </tableColumn>
    <tableColumn id="3" name="&gt;" dataDxfId="159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158">
      <calculatedColumnFormula>IF(ATALI[[#This Row],[ID NOTA]]="","",INDEX(Table1[QB],MATCH(ATALI[[#This Row],[ID NOTA]],Table1[ID],0)))</calculatedColumnFormula>
    </tableColumn>
    <tableColumn id="5" name="//" dataDxfId="157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156"/>
    <tableColumn id="7" name="TANGGAL DATANG" dataDxfId="155">
      <calculatedColumnFormula>IF(ATALI[[#This Row],[ID NOTA]]="","",INDEX([2]!NOTA[TGL_H],MATCH(ATALI[[#This Row],[ID NOTA]],[2]!NOTA[ID],0)))</calculatedColumnFormula>
    </tableColumn>
    <tableColumn id="8" name="TANGGAL INVOICE" dataDxfId="154">
      <calculatedColumnFormula>IF(ATALI[[#This Row],[ID NOTA]]="","",INDEX([2]!NOTA[TGL.NOTA],MATCH(ATALI[[#This Row],[ID NOTA]],[2]!NOTA[ID],0)))</calculatedColumnFormula>
    </tableColumn>
    <tableColumn id="9" name="NO. NOTA" dataDxfId="153">
      <calculatedColumnFormula>IF(ATALI[[#This Row],[ID NOTA]]="","",INDEX([2]!NOTA[NO.NOTA],MATCH(ATALI[[#This Row],[ID NOTA]],[2]!NOTA[ID],0)))</calculatedColumnFormula>
    </tableColumn>
    <tableColumn id="10" name="NAMA BARANG" dataDxfId="152"/>
    <tableColumn id="11" name="C" dataDxfId="151">
      <calculatedColumnFormula>IF(ATALI[[#This Row],[//]]="","",IF(INDEX([2]!NOTA[C],ATALI[[#This Row],[//]]-2)="","",INDEX([2]!NOTA[C],ATALI[[#This Row],[//]]-2)))</calculatedColumnFormula>
    </tableColumn>
    <tableColumn id="12" name="JMLH BRG" dataDxfId="150">
      <calculatedColumnFormula>IF(ATALI[[#This Row],[//]]="","",INDEX([2]!NOTA[QTY],ATALI[[#This Row],[//]]-2))</calculatedColumnFormula>
    </tableColumn>
    <tableColumn id="13" name="SAT" dataDxfId="149">
      <calculatedColumnFormula>IF(ATALI[[#This Row],[//]]="","",INDEX([2]!NOTA[STN],ATALI[[#This Row],[//]]-2))</calculatedColumnFormula>
    </tableColumn>
    <tableColumn id="14" name=" HARGA SATUAN " dataDxfId="148">
      <calculatedColumnFormula>IF(ATALI[[#This Row],[//]]="","",INDEX([2]!NOTA[HARGA SATUAN],ATALI[[#This Row],[//]]-2))</calculatedColumnFormula>
    </tableColumn>
    <tableColumn id="15" name="DISC 1 (%)" dataDxfId="147">
      <calculatedColumnFormula>IF(ATALI[[#This Row],[//]]="","",INDEX([2]!NOTA[DISC 1],ATALI[[#This Row],[//]]-2))</calculatedColumnFormula>
    </tableColumn>
    <tableColumn id="16" name="DISC 2 (%)" dataDxfId="146">
      <calculatedColumnFormula>IF(ATALI[[#This Row],[//]]="","",INDEX([2]!NOTA[DISC 2],ATALI[[#This Row],[//]]-2))</calculatedColumnFormula>
    </tableColumn>
    <tableColumn id="17" name=" JUMLAH " dataDxfId="145">
      <calculatedColumnFormula>IF(ATALI[[#This Row],[//]]="","",INDEX([2]!NOTA[TOTAL],ATALI[[#This Row],[//]]-2))</calculatedColumnFormula>
    </tableColumn>
    <tableColumn id="18" name="DISC TOTAL" dataDxfId="144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43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42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41">
      <calculatedColumnFormula>IF(ATALI[[#This Row],[//]]="","",INDEX([2]!NOTA[NAMA BARANG],ATALI[[#This Row],[//]]-2))</calculatedColumnFormula>
    </tableColumn>
    <tableColumn id="22" name="concat" dataDxfId="140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39"/>
    <tableColumn id="24" name="H_DISC" dataDxfId="138">
      <calculatedColumnFormula>IF(ATALI[[#This Row],[N.B.nota]]="","",ADDRESS(ROW(ATALI[QB]),COLUMN(ATALI[QB]))&amp;":"&amp;ADDRESS(ROW(),COLUMN(ATALI[QB])))</calculatedColumnFormula>
    </tableColumn>
    <tableColumn id="25" name="&gt;DB" dataDxfId="137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Y224" totalsRowShown="0" headerRowDxfId="135">
  <autoFilter ref="A2:Y224"/>
  <tableColumns count="25">
    <tableColumn id="1" name="N_ID" dataDxfId="134"/>
    <tableColumn id="2" name="ID NOTA" dataDxfId="133">
      <calculatedColumnFormula>IF(KENKO[[#This Row],[N_ID]]="","",INDEX(Table1[ID],MATCH(KENKO[[#This Row],[N_ID]],Table1[N_ID],0)))</calculatedColumnFormula>
    </tableColumn>
    <tableColumn id="3" name="&gt;" dataDxfId="132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131">
      <calculatedColumnFormula>IF(KENKO[[#This Row],[ID NOTA]]="","",INDEX(Table1[QB],MATCH(KENKO[[#This Row],[ID NOTA]],Table1[ID],0)))</calculatedColumnFormula>
    </tableColumn>
    <tableColumn id="5" name="//" dataDxfId="130">
      <calculatedColumnFormula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129">
      <calculatedColumnFormula>IF(KENKO[[#This Row],[NO. NOTA]]="","",INDEX([5]KE!$A:$A,MATCH(KENKO[[#This Row],[NO. NOTA]],[5]KE!$D:$D,0)))</calculatedColumnFormula>
    </tableColumn>
    <tableColumn id="7" name="TANGGAL DATANG" dataDxfId="128">
      <calculatedColumnFormula>IF(KENKO[[#This Row],[ID NOTA]]="","",INDEX([2]!NOTA[TGL_H],MATCH(KENKO[[#This Row],[ID NOTA]],[2]!NOTA[ID],0)))</calculatedColumnFormula>
    </tableColumn>
    <tableColumn id="8" name="TANGGAL INVOICE" dataDxfId="127">
      <calculatedColumnFormula>IF(KENKO[[#This Row],[ID NOTA]]="","",INDEX([2]!NOTA[TGL.NOTA],MATCH(KENKO[[#This Row],[ID NOTA]],[2]!NOTA[ID],0)))</calculatedColumnFormula>
    </tableColumn>
    <tableColumn id="9" name="NO. NOTA" dataDxfId="126">
      <calculatedColumnFormula>IF(KENKO[[#This Row],[ID NOTA]]="","",INDEX([2]!NOTA[NO.NOTA],MATCH(KENKO[[#This Row],[ID NOTA]],[2]!NOTA[ID],0)))</calculatedColumnFormula>
    </tableColumn>
    <tableColumn id="10" name="NAMA BARANG" dataDxfId="125"/>
    <tableColumn id="11" name="C" dataDxfId="124">
      <calculatedColumnFormula>""</calculatedColumnFormula>
    </tableColumn>
    <tableColumn id="12" name="JMLH BRG" dataDxfId="123">
      <calculatedColumnFormula>IF(KENKO[//]="","",IF(INDEX([2]!NOTA[QTY],KENKO[//]-2)="",INDEX([2]!NOTA[C],KENKO[//]-2),INDEX([2]!NOTA[QTY],KENKO[//]-2)))</calculatedColumnFormula>
    </tableColumn>
    <tableColumn id="13" name="SAT" dataDxfId="122">
      <calculatedColumnFormula>IF(KENKO[//]="","",IF(INDEX([2]!NOTA[STN],KENKO[//]-2)="","CTN",INDEX([2]!NOTA[STN],KENKO[//]-2)))</calculatedColumnFormula>
    </tableColumn>
    <tableColumn id="14" name=" HARGA SATUAN " dataDxfId="121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120">
      <calculatedColumnFormula>IF(KENKO[[#This Row],[//]]="","",INDEX([2]!NOTA[DISC 1],KENKO[[#This Row],[//]]-2))</calculatedColumnFormula>
    </tableColumn>
    <tableColumn id="16" name="DISC 2 (%)" dataDxfId="119">
      <calculatedColumnFormula>IF(KENKO[[#This Row],[//]]="","",INDEX([2]!NOTA[DISC 2],KENKO[[#This Row],[//]]-2))</calculatedColumnFormula>
    </tableColumn>
    <tableColumn id="17" name=" JUMLAH " dataDxfId="118">
      <calculatedColumnFormula>IF(KENKO[[#This Row],[//]]="","",INDEX([2]!NOTA[JUMLAH],KENKO[[#This Row],[//]]-2)*(100%-IF(ISNUMBER(KENKO[[#This Row],[DISC 1 (%)]]),KENKO[[#This Row],[DISC 1 (%)]],0)))</calculatedColumnFormula>
    </tableColumn>
    <tableColumn id="18" name="DISC TOTAL" dataDxfId="117">
      <calculatedColumnFormula>IF(KENKO[[#This Row],[//]]="","",IF(ROW(INDEX(INDIRECT(KENKO[H_DISC]),MATCH(,INDIRECT(KENKO[H_DISC]),-1)))-1=ROW()-INDEX(INDIRECT(KENKO[H_DISC]),MATCH(,INDIRECT(KENKO[H_DISC]),-1)),SUMIF([2]!NOTA[ID_H],INDEX([2]!NOTA[ID_H],KENKO[[#This Row],[//]]-2),[2]!NOTA[DISC TOTAL]),""))</calculatedColumnFormula>
    </tableColumn>
    <tableColumn id="19" name=" TOTAL INVOICE " dataDxfId="116">
      <calculatedColumnFormula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calculatedColumnFormula>
    </tableColumn>
    <tableColumn id="20" name="KETERANGAN" dataDxfId="11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14">
      <calculatedColumnFormula>IF(KENKO[[#This Row],[//]]="","",INDEX([2]!NOTA[NAMA BARANG],KENKO[[#This Row],[//]]-2))</calculatedColumnFormula>
    </tableColumn>
    <tableColumn id="22" name="concat" dataDxfId="11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12"/>
    <tableColumn id="24" name="H_DISC" dataDxfId="111">
      <calculatedColumnFormula>IF(KENKO[[#This Row],[N.B.nota]]="","",ADDRESS(ROW(KENKO[QB]),COLUMN(KENKO[QB]))&amp;":"&amp;ADDRESS(ROW(),COLUMN(KENKO[QB])))</calculatedColumnFormula>
    </tableColumn>
    <tableColumn id="25" name="&gt;DB" dataDxfId="110">
      <calculatedColumnFormula>IF(KENKO[[#This Row],[//]]="","",HYPERLINK("[..\\DB.xlsx]DB!e"&amp;MATCH(KENKO[[#This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18" totalsRowShown="0" headerRowDxfId="109">
  <autoFilter ref="A2:Y18"/>
  <tableColumns count="25">
    <tableColumn id="1" name="N_ID" dataDxfId="108"/>
    <tableColumn id="2" name="ID NOTA" dataDxfId="107">
      <calculatedColumnFormula>IF(KALINDO[[#This Row],[N_ID]]="","",INDEX(Table1[ID],MATCH(KALINDO[[#This Row],[N_ID]],Table1[N_ID],0)))</calculatedColumnFormula>
    </tableColumn>
    <tableColumn id="3" name="&gt;" dataDxfId="106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05">
      <calculatedColumnFormula>IF(KALINDO[[#This Row],[ID NOTA]]="","",INDEX(Table1[QB],MATCH(KALINDO[[#This Row],[ID NOTA]],Table1[ID],0)))</calculatedColumnFormula>
    </tableColumn>
    <tableColumn id="5" name="//" dataDxfId="104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03">
      <calculatedColumnFormula>IF(KALINDO[[#This Row],[NO. NOTA]]="","",INDEX([5]KS!$A:$A,MATCH(KALINDO[[#This Row],[NO. NOTA]],[5]KS!$D:$D,0)))</calculatedColumnFormula>
    </tableColumn>
    <tableColumn id="7" name="TANGGAL DATANG" dataDxfId="102">
      <calculatedColumnFormula>IF(KALINDO[[#This Row],[ID NOTA]]="","",INDEX([2]!NOTA[TGL_H],MATCH(KALINDO[[#This Row],[ID NOTA]],[2]!NOTA[ID],0)))</calculatedColumnFormula>
    </tableColumn>
    <tableColumn id="8" name="TANGGAL INVOICE" dataDxfId="101">
      <calculatedColumnFormula>IF(KALINDO[[#This Row],[ID NOTA]]="","",INDEX([2]!NOTA[TGL.NOTA],MATCH(KALINDO[[#This Row],[ID NOTA]],[2]!NOTA[ID],0)))</calculatedColumnFormula>
    </tableColumn>
    <tableColumn id="9" name="NO. NOTA" dataDxfId="100">
      <calculatedColumnFormula>IF(KALINDO[[#This Row],[ID NOTA]]="","",INDEX([2]!NOTA[NO.NOTA],MATCH(KALINDO[[#This Row],[ID NOTA]],[2]!NOTA[ID],0)))</calculatedColumnFormula>
    </tableColumn>
    <tableColumn id="10" name="NAMA BARANG" dataDxfId="99"/>
    <tableColumn id="11" name="C" dataDxfId="98">
      <calculatedColumnFormula>IF(KALINDO[[#This Row],[//]]="","",IF(INDEX([2]!NOTA[C],KALINDO[[#This Row],[//]]-2)="","",INDEX([2]!NOTA[C],KALINDO[[#This Row],[//]]-2)))</calculatedColumnFormula>
    </tableColumn>
    <tableColumn id="12" name="JMLH BRG" dataDxfId="97">
      <calculatedColumnFormula>IF(KALINDO[[#This Row],[//]]="","",INDEX([2]!NOTA[QTY],KALINDO[[#This Row],[//]]-2))</calculatedColumnFormula>
    </tableColumn>
    <tableColumn id="13" name="SAT" dataDxfId="96">
      <calculatedColumnFormula>IF(KALINDO[[#This Row],[//]]="","",INDEX([2]!NOTA[STN],KALINDO[[#This Row],[//]]-2))</calculatedColumnFormula>
    </tableColumn>
    <tableColumn id="14" name=" HARGA SATUAN " dataDxfId="95">
      <calculatedColumnFormula>IF(KALINDO[[#This Row],[//]]="","",INDEX([2]!NOTA[HARGA SATUAN],KALINDO[[#This Row],[//]]-2))</calculatedColumnFormula>
    </tableColumn>
    <tableColumn id="15" name="DISC 1 (%)" dataDxfId="94">
      <calculatedColumnFormula>IF(KALINDO[[#This Row],[//]]="","",INDEX([2]!NOTA[DISC 1],KALINDO[[#This Row],[//]]-2))</calculatedColumnFormula>
    </tableColumn>
    <tableColumn id="16" name="DISC 2 (%)" dataDxfId="93">
      <calculatedColumnFormula>IF(KALINDO[[#This Row],[//]]="","",INDEX([2]!NOTA[DISC 2],KALINDO[[#This Row],[//]]-2))</calculatedColumnFormula>
    </tableColumn>
    <tableColumn id="17" name=" JUMLAH " dataDxfId="92">
      <calculatedColumnFormula>IF(KALINDO[[#This Row],[//]]="","",INDEX([2]!NOTA[TOTAL],KALINDO[[#This Row],[//]]-2))</calculatedColumnFormula>
    </tableColumn>
    <tableColumn id="18" name="DISC TOTAL" dataDxfId="91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90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89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88">
      <calculatedColumnFormula>IF(KALINDO[[#This Row],[//]]="","",INDEX([2]!NOTA[NAMA BARANG],KALINDO[[#This Row],[//]]-2))</calculatedColumnFormula>
    </tableColumn>
    <tableColumn id="22" name="concat" dataDxfId="87">
      <calculatedColumnFormula>LOWER(SUBSTITUTE(SUBSTITUTE(SUBSTITUTE(SUBSTITUTE(SUBSTITUTE(SUBSTITUTE(KALINDO[[#This Row],[N.B.nota]]," ",""),"-",""),"(",""),")",""),".",""),",",""))</calculatedColumnFormula>
    </tableColumn>
    <tableColumn id="23" name="stt" dataDxfId="86"/>
    <tableColumn id="24" name="H_DISC" dataDxfId="85">
      <calculatedColumnFormula>IF(KALINDO[[#This Row],[N.B.nota]]="","",ADDRESS(ROW(KALINDO[QB]),COLUMN(KALINDO[QB]))&amp;":"&amp;ADDRESS(ROW(),COLUMN(KALINDO[QB])))</calculatedColumnFormula>
    </tableColumn>
    <tableColumn id="25" name="&gt;DB" dataDxfId="84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3" totalsRowShown="0" headerRowDxfId="83" dataDxfId="82">
  <autoFilter ref="A2:Y23"/>
  <tableColumns count="25">
    <tableColumn id="1" name="N_ID" dataDxfId="81"/>
    <tableColumn id="2" name="ID NOTA" dataDxfId="80">
      <calculatedColumnFormula>IF(J_UTAMA[[#This Row],[N_ID]]="","",INDEX(Table1[ID],MATCH(J_UTAMA[[#This Row],[N_ID]],Table1[N_ID],0)))</calculatedColumnFormula>
    </tableColumn>
    <tableColumn id="3" name="&gt;" dataDxfId="79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78">
      <calculatedColumnFormula>IF(J_UTAMA[[#This Row],[ID NOTA]]="","",INDEX(Table1[QB],MATCH(J_UTAMA[[#This Row],[ID NOTA]],Table1[ID],0)))</calculatedColumnFormula>
    </tableColumn>
    <tableColumn id="5" name="//" dataDxfId="77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76">
      <calculatedColumnFormula>IF(J_UTAMA[[#This Row],[NO. NOTA]]="","",INDEX('[5]99'!$A:$A,MATCH(J_UTAMA[[#This Row],[NO. NOTA]],'[5]99'!$D:$D,0)))</calculatedColumnFormula>
    </tableColumn>
    <tableColumn id="7" name="TANGGAL DATANG" dataDxfId="75">
      <calculatedColumnFormula>IF(J_UTAMA[[#This Row],[ID NOTA]]="","",INDEX([2]!NOTA[TGL_H],MATCH(J_UTAMA[[#This Row],[ID NOTA]],[2]!NOTA[ID],0)))</calculatedColumnFormula>
    </tableColumn>
    <tableColumn id="8" name="TANGGAL INVOICE" dataDxfId="74">
      <calculatedColumnFormula>IF(J_UTAMA[[#This Row],[ID NOTA]]="","",INDEX([2]!NOTA[TGL.NOTA],MATCH(J_UTAMA[[#This Row],[ID NOTA]],[2]!NOTA[ID],0)))</calculatedColumnFormula>
    </tableColumn>
    <tableColumn id="9" name="NO. NOTA" dataDxfId="73">
      <calculatedColumnFormula>IF(J_UTAMA[[#This Row],[ID NOTA]]="","",INDEX([2]!NOTA[NO.NOTA],MATCH(J_UTAMA[[#This Row],[ID NOTA]],[2]!NOTA[ID],0)))</calculatedColumnFormula>
    </tableColumn>
    <tableColumn id="10" name="NAMA BARANG" dataDxfId="72"/>
    <tableColumn id="11" name="C" dataDxfId="71">
      <calculatedColumnFormula>IF(J_UTAMA[[#This Row],[//]]="","",INDEX([2]!NOTA[C],J_UTAMA[[#This Row],[//]]-2))</calculatedColumnFormula>
    </tableColumn>
    <tableColumn id="12" name="JMLH BRG" dataDxfId="70">
      <calculatedColumnFormula>IF(J_UTAMA[[#This Row],[//]]="","",INDEX([2]!NOTA[QTY],J_UTAMA[[#This Row],[//]]-2))</calculatedColumnFormula>
    </tableColumn>
    <tableColumn id="13" name="SAT" dataDxfId="69">
      <calculatedColumnFormula>IF(J_UTAMA[[#This Row],[//]]="","",INDEX([2]!NOTA[STN],J_UTAMA[[#This Row],[//]]-2))</calculatedColumnFormula>
    </tableColumn>
    <tableColumn id="14" name=" HARGA SATUAN " dataDxfId="68">
      <calculatedColumnFormula>IF(J_UTAMA[[#This Row],[//]]="","",INDEX([2]!NOTA[HARGA SATUAN],J_UTAMA[[#This Row],[//]]-2))</calculatedColumnFormula>
    </tableColumn>
    <tableColumn id="15" name="DISC 1 (%)" dataDxfId="67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66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65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64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63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62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61">
      <calculatedColumnFormula>IF(J_UTAMA[[#This Row],[//]]="","",INDEX([2]!NOTA[NAMA BARANG],J_UTAMA[[#This Row],[//]]-2))</calculatedColumnFormula>
    </tableColumn>
    <tableColumn id="22" name="concat" dataDxfId="60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59"/>
    <tableColumn id="24" name="H_DISC" dataDxfId="58">
      <calculatedColumnFormula>IF(J_UTAMA[[#This Row],[N.B.nota]]="","",ADDRESS(ROW(J_UTAMA[QB]),COLUMN(J_UTAMA[QB]))&amp;":"&amp;ADDRESS(ROW(),COLUMN(J_UTAMA[QB])))</calculatedColumnFormula>
    </tableColumn>
    <tableColumn id="25" name="&gt;DB" dataDxfId="57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Y3" totalsRowShown="0" headerRowDxfId="54" dataDxfId="53">
  <autoFilter ref="A2:Y3"/>
  <tableColumns count="25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/>
    <tableColumn id="4" name="QB" dataDxfId="49">
      <calculatedColumnFormula>IF(SAJ[[#This Row],[ID NOTA]]="","",INDEX(Table1[QB],MATCH(SAJ[[#This Row],[ID NOTA]],Table1[ID],0)))</calculatedColumnFormula>
    </tableColumn>
    <tableColumn id="5" name="//" dataDxfId="48"/>
    <tableColumn id="6" name="NO" dataDxfId="47">
      <calculatedColumnFormula>IF(SAJ[[#This Row],[NO. NOTA]]="","",INDEX([5]SAJ!$A:$A,MATCH(SAJ[[#This Row],[NO. NOTA]],[5]SAJ!$D:$D,0)))</calculatedColumnFormula>
    </tableColumn>
    <tableColumn id="7" name="TANGGAL DATANG" dataDxfId="46"/>
    <tableColumn id="8" name="TANGGAL INVOICE" dataDxfId="45"/>
    <tableColumn id="9" name="NO. NOTA" dataDxfId="44"/>
    <tableColumn id="10" name="NAMA BARANG" dataDxfId="43"/>
    <tableColumn id="11" name="C" dataDxfId="42"/>
    <tableColumn id="12" name="JMLH BRG" dataDxfId="41"/>
    <tableColumn id="13" name="SAT" dataDxfId="40"/>
    <tableColumn id="14" name=" HARGA SATUAN " dataDxfId="39"/>
    <tableColumn id="15" name="DISC 1 (%)" dataDxfId="38"/>
    <tableColumn id="16" name="DISC 2 (%)" dataDxfId="37"/>
    <tableColumn id="17" name=" JUMLAH " dataDxfId="36"/>
    <tableColumn id="18" name="DISC TOTAL" dataDxfId="35"/>
    <tableColumn id="19" name=" TOTAL INVOICE " dataDxfId="34"/>
    <tableColumn id="20" name="KETERANGAN" dataDxfId="33"/>
    <tableColumn id="21" name="N.B.nota" dataDxfId="32"/>
    <tableColumn id="22" name="concat" dataDxfId="31"/>
    <tableColumn id="23" name="stt" dataDxfId="30"/>
    <tableColumn id="24" name="H_DISC" dataDxfId="29"/>
    <tableColumn id="25" name="&gt;DB" dataDxfId="2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4" totalsRowShown="0" headerRowDxfId="26" dataDxfId="25">
  <autoFilter ref="A2:Y4"/>
  <tableColumns count="25">
    <tableColumn id="1" name="N_ID" dataDxfId="24"/>
    <tableColumn id="2" name="ID NOTA" dataDxfId="23">
      <calculatedColumnFormula>IF(MGN[[#This Row],[N_ID]]="","",INDEX(Table1[ID],MATCH(MGN[[#This Row],[N_ID]],Table1[N_ID],0)))</calculatedColumnFormula>
    </tableColumn>
    <tableColumn id="3" name="&gt;" dataDxfId="22">
      <calculatedColumnFormula>IF(MGN[[#This Row],[ID NOTA]]="","",HYPERLINK("[NOTA_.xlsx]NOTA!e"&amp;INDEX([2]!PAJAK[//],MATCH(MGN[[#This Row],[ID NOTA]],[2]!PAJAK[ID],0)),"&gt;") )</calculatedColumnFormula>
    </tableColumn>
    <tableColumn id="4" name="QB" dataDxfId="21">
      <calculatedColumnFormula>IF(MGN[[#This Row],[ID NOTA]]="","",INDEX(Table1[QB],MATCH(MGN[[#This Row],[ID NOTA]],Table1[ID],0)))</calculatedColumnFormula>
    </tableColumn>
    <tableColumn id="5" name="//" dataDxfId="2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9">
      <calculatedColumnFormula>IF(MGN[[#This Row],[NO. NOTA]]="","",INDEX([5]MGN!$A:$A,MATCH(MGN[[#This Row],[NO. NOTA]],[5]MGN!$D:$D,0)))</calculatedColumnFormula>
    </tableColumn>
    <tableColumn id="7" name="TANGGAL DATANG" dataDxfId="18">
      <calculatedColumnFormula>IF(MGN[[#This Row],[ID NOTA]]="","",INDEX([2]!NOTA[TGL_H],MATCH(MGN[[#This Row],[ID NOTA]],[2]!NOTA[ID],0)))</calculatedColumnFormula>
    </tableColumn>
    <tableColumn id="8" name="TANGGAL INVOICE" dataDxfId="17">
      <calculatedColumnFormula>IF(MGN[[#This Row],[ID NOTA]]="","",INDEX([2]!NOTA[TGL.NOTA],MATCH(MGN[[#This Row],[ID NOTA]],[2]!NOTA[ID],0)))</calculatedColumnFormula>
    </tableColumn>
    <tableColumn id="9" name="NO. NOTA" dataDxfId="16">
      <calculatedColumnFormula>IF(MGN[[#This Row],[ID NOTA]]="","",INDEX([2]!NOTA[NO.NOTA],MATCH(MGN[[#This Row],[ID NOTA]],[2]!NOTA[ID],0)))</calculatedColumnFormula>
    </tableColumn>
    <tableColumn id="10" name="NAMA BARANG" dataDxfId="15"/>
    <tableColumn id="11" name="C" dataDxfId="14">
      <calculatedColumnFormula>IF(MGN[[#This Row],[//]]="","",INDEX([2]!NOTA[C],MGN[[#This Row],[//]]-2))</calculatedColumnFormula>
    </tableColumn>
    <tableColumn id="12" name="JMLH BRG" dataDxfId="13">
      <calculatedColumnFormula>IF(MGN[//]="","",INDEX([2]!NOTA[QTY],MGN[//]-2))</calculatedColumnFormula>
    </tableColumn>
    <tableColumn id="13" name="SAT" dataDxfId="12">
      <calculatedColumnFormula>IF(MGN[//]="","",INDEX([2]!NOTA[STN],MGN[//]-2))</calculatedColumnFormula>
    </tableColumn>
    <tableColumn id="14" name=" HARGA SATUAN " dataDxfId="11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0">
      <calculatedColumnFormula>IF(MGN[[#This Row],[//]]="","",IF(INDEX([2]!NOTA[DISC 1],MGN[[#This Row],[//]]-2)="","",INDEX([2]!NOTA[DISC 1],MGN[[#This Row],[//]]-2)))</calculatedColumnFormula>
    </tableColumn>
    <tableColumn id="16" name="DISC 2 (%)" dataDxfId="9">
      <calculatedColumnFormula>IF(MGN[[#This Row],[//]]="","",IF(INDEX([2]!NOTA[DISC 2],MGN[[#This Row],[//]]-2)="","",INDEX([2]!NOTA[DISC 2],MGN[[#This Row],[//]]-2)))</calculatedColumnFormula>
    </tableColumn>
    <tableColumn id="17" name=" JUMLAH " dataDxfId="8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6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4">
      <calculatedColumnFormula>IF(MGN[[#This Row],[//]]="","",INDEX([2]!NOTA[NAMA BARANG],MGN[[#This Row],[//]]-2))</calculatedColumnFormula>
    </tableColumn>
    <tableColumn id="22" name="concat" dataDxfId="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2"/>
    <tableColumn id="24" name="H_DISC" dataDxfId="1">
      <calculatedColumnFormula>IF(MGN[[#This Row],[N.B.nota]]="","",ADDRESS(ROW(MGN[QB]),COLUMN(MGN[QB]))&amp;":"&amp;ADDRESS(ROW(),COLUMN(MGN[QB])))</calculatedColumnFormula>
    </tableColumn>
    <tableColumn id="25" name="&gt;DB" dataDxfId="0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conv1" displayName="conv1" ref="A2:B8" totalsRowShown="0">
  <autoFilter ref="A2:B8"/>
  <tableColumns count="2">
    <tableColumn id="1" name="1"/>
    <tableColumn id="2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topLeftCell="A22" zoomScale="85" zoomScaleNormal="85" workbookViewId="0">
      <selection activeCell="N36" sqref="N36"/>
    </sheetView>
  </sheetViews>
  <sheetFormatPr defaultRowHeight="15" outlineLevelCol="1" x14ac:dyDescent="0.25"/>
  <cols>
    <col min="1" max="1" width="5.85546875" style="1" customWidth="1"/>
    <col min="2" max="2" width="13.7109375" style="2" customWidth="1"/>
    <col min="3" max="3" width="5.7109375" style="1" customWidth="1"/>
    <col min="4" max="4" width="5.5703125" style="1" customWidth="1"/>
    <col min="5" max="5" width="12" style="3" customWidth="1"/>
    <col min="6" max="6" width="11.42578125" style="3" customWidth="1"/>
    <col min="7" max="7" width="14.42578125" style="1" customWidth="1"/>
    <col min="9" max="9" width="36.85546875" customWidth="1"/>
    <col min="10" max="10" width="15.42578125" style="5" bestFit="1" customWidth="1"/>
    <col min="11" max="11" width="13.85546875" style="5" bestFit="1" customWidth="1"/>
    <col min="12" max="12" width="15.42578125" style="5" bestFit="1" customWidth="1"/>
    <col min="13" max="13" width="13.85546875" style="5" customWidth="1"/>
    <col min="14" max="14" width="15.42578125" style="5" customWidth="1"/>
    <col min="15" max="15" width="12" style="1" hidden="1" customWidth="1" outlineLevel="1"/>
    <col min="16" max="16" width="9.140625" hidden="1" customWidth="1" outlineLevel="1"/>
    <col min="17" max="17" width="9.140625" collapsed="1"/>
  </cols>
  <sheetData>
    <row r="2" spans="1:16" x14ac:dyDescent="0.25">
      <c r="A2" s="1" t="s">
        <v>70</v>
      </c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1" t="s">
        <v>13</v>
      </c>
      <c r="P2" t="s">
        <v>128</v>
      </c>
    </row>
    <row r="3" spans="1:16" x14ac:dyDescent="0.25">
      <c r="A3" s="6" t="str">
        <f ca="1">IF(Table1[[#This Row],[NAMA SUPPLIER]]="","",MATCH(Table1[[#This Row],[N_ID]],INDIRECT(Table1[[#This Row],[1_h]]&amp;"[N_ID]"),0))</f>
        <v/>
      </c>
      <c r="B3" s="7" t="s">
        <v>18</v>
      </c>
      <c r="C3" s="6" t="str">
        <f ca="1">_xlfn.IFNA(INDEX([6]!PAJAK[ID],MATCH(Table1[[#This Row],[N_ID]],[6]!PAJAK[ID_P],0)),"")</f>
        <v/>
      </c>
      <c r="D3" s="6" t="str">
        <f ca="1">IF(Table1[[#This Row],[ID]]="","",INDEX([6]!PAJAK[QB],MATCH(Table1[[#This Row],[ID]],[6]!PAJAK[ID],0)))</f>
        <v/>
      </c>
      <c r="E3" s="3" t="str">
        <f ca="1">INDEX([6]!PAJAK[TGL.MASUK],MATCH(Table1[[#This Row],[ID]],[6]!PAJAK[ID],0))</f>
        <v/>
      </c>
      <c r="F3" s="3" t="str">
        <f ca="1">INDEX([6]!PAJAK[TGL.NOTA],MATCH(Table1[[#This Row],[ID]],[6]!PAJAK[ID],0))</f>
        <v/>
      </c>
      <c r="G3" s="6" t="str">
        <f ca="1">INDEX([6]!PAJAK[NO.NOTA],MATCH(Table1[[#This Row],[ID]],[6]!PAJAK[ID],0))</f>
        <v/>
      </c>
      <c r="I3" s="4" t="str">
        <f ca="1">INDEX([6]!PAJAK[SUPPLIER],MATCH(Table1[[#This Row],[ID]],[6]!PAJAK[ID],0))</f>
        <v/>
      </c>
      <c r="J3" s="5" t="str">
        <f ca="1">IFERROR(INDEX(INDIRECT("NOTA_.xlsx!"&amp;Table1[[#This Row],[1_h]]&amp;"[sub total]"),MATCH(Table1[[#This Row],[ID]],INDIRECT("NOTA_.xlsx!"&amp;Table1[[#This Row],[1_h]]&amp;"[ID]"),0)),"")</f>
        <v/>
      </c>
      <c r="K3" s="5" t="str">
        <f ca="1">IFERROR(INDEX(INDIRECT("NOTA_.xlsx!"&amp;Table1[[#This Row],[1_h]]&amp;"[diskon]"),MATCH(Table1[[#This Row],[ID]],INDIRECT("NOTA_.xlsx!"&amp;Table1[[#This Row],[1_h]]&amp;"[ID]"),0)),"")</f>
        <v/>
      </c>
      <c r="L3" s="5" t="str">
        <f ca="1">IFERROR(INDEX(INDIRECT("NOTA_.xlsx!"&amp;Table1[[#This Row],[1_h]]&amp;"[Dpp]"),MATCH(Table1[[#This Row],[ID]],INDIRECT("NOTA_.xlsx!"&amp;Table1[[#This Row],[1_h]]&amp;"[ID]"),0)),"")</f>
        <v/>
      </c>
      <c r="M3" s="5" t="str">
        <f ca="1">IFERROR(INDEX(INDIRECT("NOTA_.xlsx!"&amp;Table1[[#This Row],[1_h]]&amp;"[ppn (11%)]"),MATCH(Table1[[#This Row],[ID]],INDIRECT("NOTA_.xlsx!"&amp;Table1[[#This Row],[1_h]]&amp;"[ID]"),0)),"")</f>
        <v/>
      </c>
      <c r="N3" s="5" t="str">
        <f ca="1">IFERROR(INDEX(INDIRECT("NOTA_.xlsx!"&amp;Table1[[#This Row],[1_h]]&amp;"[total]"),MATCH(Table1[[#This Row],[ID]],INDIRECT("NOTA_.xlsx!"&amp;Table1[[#This Row],[1_h]]&amp;"[ID]"),0)),"")</f>
        <v/>
      </c>
      <c r="O3" s="59" t="str">
        <f ca="1">IF(Table1[[#This Row],[NAMA SUPPLIER]]="","",INDEX(conv1[2],MATCH(Table1[[#This Row],[NAMA SUPPLIER]],conv1[1],0)))</f>
        <v/>
      </c>
      <c r="P3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4" spans="1:16" x14ac:dyDescent="0.25">
      <c r="A4" s="6">
        <f ca="1">IF(Table1[[#This Row],[NAMA SUPPLIER]]="","",MATCH(Table1[[#This Row],[N_ID]],INDIRECT(Table1[[#This Row],[1_h]]&amp;"[N_ID]"),0))</f>
        <v>1</v>
      </c>
      <c r="B4" s="33" t="s">
        <v>97</v>
      </c>
      <c r="C4" s="6">
        <f ca="1">_xlfn.IFNA(INDEX([6]!PAJAK[ID],MATCH(Table1[[#This Row],[N_ID]],[6]!PAJAK[ID_P],0)),"")</f>
        <v>136</v>
      </c>
      <c r="D4" s="6">
        <f ca="1">IF(Table1[[#This Row],[ID]]="","",INDEX([6]!PAJAK[QB],MATCH(Table1[[#This Row],[ID]],[6]!PAJAK[ID],0)))</f>
        <v>1</v>
      </c>
      <c r="E4" s="3">
        <f ca="1">INDEX([6]!PAJAK[TGL.MASUK],MATCH(Table1[[#This Row],[ID]],[6]!PAJAK[ID],0))</f>
        <v>44767</v>
      </c>
      <c r="F4" s="3">
        <f ca="1">INDEX([6]!PAJAK[TGL.NOTA],MATCH(Table1[[#This Row],[ID]],[6]!PAJAK[ID],0))</f>
        <v>44764</v>
      </c>
      <c r="G4" s="6" t="str">
        <f ca="1">INDEX([6]!PAJAK[NO.NOTA],MATCH(Table1[[#This Row],[ID]],[6]!PAJAK[ID],0))</f>
        <v>JL-58302</v>
      </c>
      <c r="I4" s="4" t="str">
        <f ca="1">INDEX([6]!PAJAK[SUPPLIER],MATCH(Table1[[#This Row],[ID]],[6]!PAJAK[ID],0))</f>
        <v>CV SAMUDERA ANGKASA JAYA</v>
      </c>
      <c r="J4" s="5">
        <f ca="1">IFERROR(INDEX(INDIRECT("NOTA_.xlsx!"&amp;Table1[[#This Row],[1_h]]&amp;"[sub total]"),MATCH(Table1[[#This Row],[ID]],INDIRECT("NOTA_.xlsx!"&amp;Table1[[#This Row],[1_h]]&amp;"[ID]"),0)),"")</f>
        <v>5400000</v>
      </c>
      <c r="K4" s="5">
        <f ca="1">IFERROR(INDEX(INDIRECT("NOTA_.xlsx!"&amp;Table1[[#This Row],[1_h]]&amp;"[diskon]"),MATCH(Table1[[#This Row],[ID]],INDIRECT("NOTA_.xlsx!"&amp;Table1[[#This Row],[1_h]]&amp;"[ID]"),0)),"")</f>
        <v>270000</v>
      </c>
      <c r="L4" s="5">
        <f ca="1">IFERROR(INDEX(INDIRECT("NOTA_.xlsx!"&amp;Table1[[#This Row],[1_h]]&amp;"[Dpp]"),MATCH(Table1[[#This Row],[ID]],INDIRECT("NOTA_.xlsx!"&amp;Table1[[#This Row],[1_h]]&amp;"[ID]"),0)),"")</f>
        <v>4621621.6216216208</v>
      </c>
      <c r="M4" s="5">
        <f ca="1">IFERROR(INDEX(INDIRECT("NOTA_.xlsx!"&amp;Table1[[#This Row],[1_h]]&amp;"[ppn (11%)]"),MATCH(Table1[[#This Row],[ID]],INDIRECT("NOTA_.xlsx!"&amp;Table1[[#This Row],[1_h]]&amp;"[ID]"),0)),"")</f>
        <v>508378.37837837829</v>
      </c>
      <c r="N4" s="5">
        <f ca="1">IFERROR(INDEX(INDIRECT("NOTA_.xlsx!"&amp;Table1[[#This Row],[1_h]]&amp;"[total]"),MATCH(Table1[[#This Row],[ID]],INDIRECT("NOTA_.xlsx!"&amp;Table1[[#This Row],[1_h]]&amp;"[ID]"),0)),"")</f>
        <v>5129999.9999999991</v>
      </c>
      <c r="O4" s="59" t="str">
        <f ca="1">IF(Table1[[#This Row],[NAMA SUPPLIER]]="","",INDEX(conv1[2],MATCH(Table1[[#This Row],[NAMA SUPPLIER]],conv1[1],0)))</f>
        <v>SAJ</v>
      </c>
      <c r="P4" s="4">
        <f ca="1">IF(Table1[[#This Row],[NO. INVOICE]]="","",_xlfn.IFNA(MATCH(Table1[[#This Row],[NO. INVOICE]],'[3]REKAP PEMBELIAN'!$C:$C,0),MATCH(VALUE(Table1[[#This Row],[NO. INVOICE]]),'[3]REKAP PEMBELIAN'!$C:$C,0)))</f>
        <v>373</v>
      </c>
    </row>
    <row r="5" spans="1:16" x14ac:dyDescent="0.25">
      <c r="A5" s="6" t="str">
        <f ca="1">IF(Table1[[#This Row],[NAMA SUPPLIER]]="","",MATCH(Table1[[#This Row],[N_ID]],INDIRECT(Table1[[#This Row],[1_h]]&amp;"[N_ID]"),0))</f>
        <v/>
      </c>
      <c r="B5" s="7"/>
      <c r="C5" s="6" t="str">
        <f ca="1">_xlfn.IFNA(INDEX([6]!PAJAK[ID],MATCH(Table1[[#This Row],[N_ID]],[6]!PAJAK[ID_P],0)),"")</f>
        <v/>
      </c>
      <c r="D5" s="6" t="str">
        <f ca="1">IF(Table1[[#This Row],[ID]]="","",INDEX([6]!PAJAK[QB],MATCH(Table1[[#This Row],[ID]],[6]!PAJAK[ID],0)))</f>
        <v/>
      </c>
      <c r="E5" s="3" t="str">
        <f ca="1">INDEX([6]!PAJAK[TGL.MASUK],MATCH(Table1[[#This Row],[ID]],[6]!PAJAK[ID],0))</f>
        <v/>
      </c>
      <c r="F5" s="3" t="str">
        <f ca="1">INDEX([6]!PAJAK[TGL.NOTA],MATCH(Table1[[#This Row],[ID]],[6]!PAJAK[ID],0))</f>
        <v/>
      </c>
      <c r="G5" s="6" t="str">
        <f ca="1">INDEX([6]!PAJAK[NO.NOTA],MATCH(Table1[[#This Row],[ID]],[6]!PAJAK[ID],0))</f>
        <v/>
      </c>
      <c r="I5" s="4" t="str">
        <f ca="1">INDEX([6]!PAJAK[SUPPLIER],MATCH(Table1[[#This Row],[ID]],[6]!PAJAK[ID],0))</f>
        <v/>
      </c>
      <c r="J5" s="5" t="str">
        <f ca="1">IFERROR(INDEX(INDIRECT("NOTA_.xlsx!"&amp;Table1[[#This Row],[1_h]]&amp;"[sub total]"),MATCH(Table1[[#This Row],[ID]],INDIRECT("NOTA_.xlsx!"&amp;Table1[[#This Row],[1_h]]&amp;"[ID]"),0)),"")</f>
        <v/>
      </c>
      <c r="K5" s="5" t="str">
        <f ca="1">IFERROR(INDEX(INDIRECT("NOTA_.xlsx!"&amp;Table1[[#This Row],[1_h]]&amp;"[diskon]"),MATCH(Table1[[#This Row],[ID]],INDIRECT("NOTA_.xlsx!"&amp;Table1[[#This Row],[1_h]]&amp;"[ID]"),0)),"")</f>
        <v/>
      </c>
      <c r="L5" s="5" t="str">
        <f ca="1">IFERROR(INDEX(INDIRECT("NOTA_.xlsx!"&amp;Table1[[#This Row],[1_h]]&amp;"[Dpp]"),MATCH(Table1[[#This Row],[ID]],INDIRECT("NOTA_.xlsx!"&amp;Table1[[#This Row],[1_h]]&amp;"[ID]"),0)),"")</f>
        <v/>
      </c>
      <c r="M5" s="5" t="str">
        <f ca="1">IFERROR(INDEX(INDIRECT("NOTA_.xlsx!"&amp;Table1[[#This Row],[1_h]]&amp;"[ppn (11%)]"),MATCH(Table1[[#This Row],[ID]],INDIRECT("NOTA_.xlsx!"&amp;Table1[[#This Row],[1_h]]&amp;"[ID]"),0)),"")</f>
        <v/>
      </c>
      <c r="N5" s="5" t="str">
        <f ca="1">IFERROR(INDEX(INDIRECT("NOTA_.xlsx!"&amp;Table1[[#This Row],[1_h]]&amp;"[total]"),MATCH(Table1[[#This Row],[ID]],INDIRECT("NOTA_.xlsx!"&amp;Table1[[#This Row],[1_h]]&amp;"[ID]"),0)),"")</f>
        <v/>
      </c>
      <c r="O5" s="59" t="str">
        <f ca="1">IF(Table1[[#This Row],[NAMA SUPPLIER]]="","",INDEX(conv1[2],MATCH(Table1[[#This Row],[NAMA SUPPLIER]],conv1[1],0)))</f>
        <v/>
      </c>
      <c r="P5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6" spans="1:16" x14ac:dyDescent="0.25">
      <c r="A6" s="6">
        <f ca="1">IF(Table1[[#This Row],[NAMA SUPPLIER]]="","",MATCH(Table1[[#This Row],[N_ID]],INDIRECT(Table1[[#This Row],[1_h]]&amp;"[N_ID]"),0))</f>
        <v>1</v>
      </c>
      <c r="B6" s="2" t="s">
        <v>25</v>
      </c>
      <c r="C6" s="6">
        <f ca="1">_xlfn.IFNA(INDEX([6]!PAJAK[ID],MATCH(Table1[[#This Row],[N_ID]],[6]!PAJAK[ID_P],0)),"")</f>
        <v>28</v>
      </c>
      <c r="D6" s="6">
        <f ca="1">IF(Table1[[#This Row],[ID]]="","",INDEX([6]!PAJAK[QB],MATCH(Table1[[#This Row],[ID]],[6]!PAJAK[ID],0)))</f>
        <v>5</v>
      </c>
      <c r="E6" s="3">
        <f ca="1">INDEX([6]!PAJAK[TGL.MASUK],MATCH(Table1[[#This Row],[ID]],[6]!PAJAK[ID],0))</f>
        <v>44748</v>
      </c>
      <c r="F6" s="3">
        <f ca="1">INDEX([6]!PAJAK[TGL.NOTA],MATCH(Table1[[#This Row],[ID]],[6]!PAJAK[ID],0))</f>
        <v>44743</v>
      </c>
      <c r="G6" s="6" t="str">
        <f ca="1">INDEX([6]!PAJAK[NO.NOTA],MATCH(Table1[[#This Row],[ID]],[6]!PAJAK[ID],0))</f>
        <v>SA220709166</v>
      </c>
      <c r="I6" s="4" t="str">
        <f ca="1">INDEX([6]!PAJAK[SUPPLIER],MATCH(Table1[[#This Row],[ID]],[6]!PAJAK[ID],0))</f>
        <v>PT ATALI MAKMUR</v>
      </c>
      <c r="J6" s="5">
        <f ca="1">IFERROR(INDEX(INDIRECT("NOTA_.xlsx!"&amp;Table1[[#This Row],[1_h]]&amp;"[sub total]"),MATCH(Table1[[#This Row],[ID]],INDIRECT("NOTA_.xlsx!"&amp;Table1[[#This Row],[1_h]]&amp;"[ID]"),0)),"")</f>
        <v>12032643</v>
      </c>
      <c r="K6" s="5">
        <f ca="1">IFERROR(INDEX(INDIRECT("NOTA_.xlsx!"&amp;Table1[[#This Row],[1_h]]&amp;"[diskon]"),MATCH(Table1[[#This Row],[ID]],INDIRECT("NOTA_.xlsx!"&amp;Table1[[#This Row],[1_h]]&amp;"[ID]"),0)),"")</f>
        <v>387828</v>
      </c>
      <c r="L6" s="5">
        <f ca="1">IFERROR(INDEX(INDIRECT("NOTA_.xlsx!"&amp;Table1[[#This Row],[1_h]]&amp;"[Dpp]"),MATCH(Table1[[#This Row],[ID]],INDIRECT("NOTA_.xlsx!"&amp;Table1[[#This Row],[1_h]]&amp;"[ID]"),0)),"")</f>
        <v>10490824.324324323</v>
      </c>
      <c r="M6" s="5">
        <f ca="1">IFERROR(INDEX(INDIRECT("NOTA_.xlsx!"&amp;Table1[[#This Row],[1_h]]&amp;"[ppn (11%)]"),MATCH(Table1[[#This Row],[ID]],INDIRECT("NOTA_.xlsx!"&amp;Table1[[#This Row],[1_h]]&amp;"[ID]"),0)),"")</f>
        <v>1153990.6756756755</v>
      </c>
      <c r="N6" s="5">
        <f ca="1">IFERROR(INDEX(INDIRECT("NOTA_.xlsx!"&amp;Table1[[#This Row],[1_h]]&amp;"[total]"),MATCH(Table1[[#This Row],[ID]],INDIRECT("NOTA_.xlsx!"&amp;Table1[[#This Row],[1_h]]&amp;"[ID]"),0)),"")</f>
        <v>11644814.999999998</v>
      </c>
      <c r="O6" s="59" t="str">
        <f ca="1">IF(Table1[[#This Row],[NAMA SUPPLIER]]="","",INDEX(conv1[2],MATCH(Table1[[#This Row],[NAMA SUPPLIER]],conv1[1],0)))</f>
        <v>ATALI</v>
      </c>
      <c r="P6" s="4">
        <f ca="1">IF(Table1[[#This Row],[NO. INVOICE]]="","",_xlfn.IFNA(MATCH(Table1[[#This Row],[NO. INVOICE]],'[3]REKAP PEMBELIAN'!$C:$C,0),MATCH(VALUE(Table1[[#This Row],[NO. INVOICE]]),'[3]REKAP PEMBELIAN'!$C:$C,0)))</f>
        <v>375</v>
      </c>
    </row>
    <row r="7" spans="1:16" x14ac:dyDescent="0.25">
      <c r="A7" s="6">
        <f ca="1">IF(Table1[[#This Row],[NAMA SUPPLIER]]="","",MATCH(Table1[[#This Row],[N_ID]],INDIRECT(Table1[[#This Row],[1_h]]&amp;"[N_ID]"),0))</f>
        <v>7</v>
      </c>
      <c r="B7" s="2" t="s">
        <v>26</v>
      </c>
      <c r="C7" s="6">
        <f ca="1">_xlfn.IFNA(INDEX([6]!PAJAK[ID],MATCH(Table1[[#This Row],[N_ID]],[6]!PAJAK[ID_P],0)),"")</f>
        <v>37</v>
      </c>
      <c r="D7" s="6">
        <f ca="1">IF(Table1[[#This Row],[ID]]="","",INDEX([6]!PAJAK[QB],MATCH(Table1[[#This Row],[ID]],[6]!PAJAK[ID],0)))</f>
        <v>3</v>
      </c>
      <c r="E7" s="3">
        <f ca="1">INDEX([6]!PAJAK[TGL.MASUK],MATCH(Table1[[#This Row],[ID]],[6]!PAJAK[ID],0))</f>
        <v>44749</v>
      </c>
      <c r="F7" s="3">
        <f ca="1">INDEX([6]!PAJAK[TGL.NOTA],MATCH(Table1[[#This Row],[ID]],[6]!PAJAK[ID],0))</f>
        <v>44744</v>
      </c>
      <c r="G7" s="6" t="str">
        <f ca="1">INDEX([6]!PAJAK[NO.NOTA],MATCH(Table1[[#This Row],[ID]],[6]!PAJAK[ID],0))</f>
        <v>SA220709246</v>
      </c>
      <c r="I7" s="4" t="str">
        <f ca="1">INDEX([6]!PAJAK[SUPPLIER],MATCH(Table1[[#This Row],[ID]],[6]!PAJAK[ID],0))</f>
        <v>PT ATALI MAKMUR</v>
      </c>
      <c r="J7" s="5">
        <f ca="1">IFERROR(INDEX(INDIRECT("NOTA_.xlsx!"&amp;Table1[[#This Row],[1_h]]&amp;"[sub total]"),MATCH(Table1[[#This Row],[ID]],INDIRECT("NOTA_.xlsx!"&amp;Table1[[#This Row],[1_h]]&amp;"[ID]"),0)),"")</f>
        <v>8067780</v>
      </c>
      <c r="K7" s="5">
        <f ca="1">IFERROR(INDEX(INDIRECT("NOTA_.xlsx!"&amp;Table1[[#This Row],[1_h]]&amp;"[diskon]"),MATCH(Table1[[#This Row],[ID]],INDIRECT("NOTA_.xlsx!"&amp;Table1[[#This Row],[1_h]]&amp;"[ID]"),0)),"")</f>
        <v>0</v>
      </c>
      <c r="L7" s="5">
        <f ca="1">IFERROR(INDEX(INDIRECT("NOTA_.xlsx!"&amp;Table1[[#This Row],[1_h]]&amp;"[Dpp]"),MATCH(Table1[[#This Row],[ID]],INDIRECT("NOTA_.xlsx!"&amp;Table1[[#This Row],[1_h]]&amp;"[ID]"),0)),"")</f>
        <v>7268270.2702702694</v>
      </c>
      <c r="M7" s="5">
        <f ca="1">IFERROR(INDEX(INDIRECT("NOTA_.xlsx!"&amp;Table1[[#This Row],[1_h]]&amp;"[ppn (11%)]"),MATCH(Table1[[#This Row],[ID]],INDIRECT("NOTA_.xlsx!"&amp;Table1[[#This Row],[1_h]]&amp;"[ID]"),0)),"")</f>
        <v>799509.72972972959</v>
      </c>
      <c r="N7" s="5">
        <f ca="1">IFERROR(INDEX(INDIRECT("NOTA_.xlsx!"&amp;Table1[[#This Row],[1_h]]&amp;"[total]"),MATCH(Table1[[#This Row],[ID]],INDIRECT("NOTA_.xlsx!"&amp;Table1[[#This Row],[1_h]]&amp;"[ID]"),0)),"")</f>
        <v>8067779.9999999991</v>
      </c>
      <c r="O7" s="59" t="str">
        <f ca="1">IF(Table1[[#This Row],[NAMA SUPPLIER]]="","",INDEX(conv1[2],MATCH(Table1[[#This Row],[NAMA SUPPLIER]],conv1[1],0)))</f>
        <v>ATALI</v>
      </c>
      <c r="P7" s="4">
        <f ca="1">IF(Table1[[#This Row],[NO. INVOICE]]="","",_xlfn.IFNA(MATCH(Table1[[#This Row],[NO. INVOICE]],'[3]REKAP PEMBELIAN'!$C:$C,0),MATCH(VALUE(Table1[[#This Row],[NO. INVOICE]]),'[3]REKAP PEMBELIAN'!$C:$C,0)))</f>
        <v>376</v>
      </c>
    </row>
    <row r="8" spans="1:16" x14ac:dyDescent="0.25">
      <c r="A8" s="6">
        <f ca="1">IF(Table1[[#This Row],[NAMA SUPPLIER]]="","",MATCH(Table1[[#This Row],[N_ID]],INDIRECT(Table1[[#This Row],[1_h]]&amp;"[N_ID]"),0))</f>
        <v>11</v>
      </c>
      <c r="B8" s="2" t="s">
        <v>27</v>
      </c>
      <c r="C8" s="6">
        <f ca="1">_xlfn.IFNA(INDEX([6]!PAJAK[ID],MATCH(Table1[[#This Row],[N_ID]],[6]!PAJAK[ID_P],0)),"")</f>
        <v>38</v>
      </c>
      <c r="D8" s="6">
        <f ca="1">IF(Table1[[#This Row],[ID]]="","",INDEX([6]!PAJAK[QB],MATCH(Table1[[#This Row],[ID]],[6]!PAJAK[ID],0)))</f>
        <v>3</v>
      </c>
      <c r="E8" s="3">
        <f ca="1">INDEX([6]!PAJAK[TGL.MASUK],MATCH(Table1[[#This Row],[ID]],[6]!PAJAK[ID],0))</f>
        <v>44749</v>
      </c>
      <c r="F8" s="3">
        <f ca="1">INDEX([6]!PAJAK[TGL.NOTA],MATCH(Table1[[#This Row],[ID]],[6]!PAJAK[ID],0))</f>
        <v>44746</v>
      </c>
      <c r="G8" s="6" t="str">
        <f ca="1">INDEX([6]!PAJAK[NO.NOTA],MATCH(Table1[[#This Row],[ID]],[6]!PAJAK[ID],0))</f>
        <v>SA220709303</v>
      </c>
      <c r="I8" s="4" t="str">
        <f ca="1">INDEX([6]!PAJAK[SUPPLIER],MATCH(Table1[[#This Row],[ID]],[6]!PAJAK[ID],0))</f>
        <v>PT ATALI MAKMUR</v>
      </c>
      <c r="J8" s="5">
        <f ca="1">IFERROR(INDEX(INDIRECT("NOTA_.xlsx!"&amp;Table1[[#This Row],[1_h]]&amp;"[sub total]"),MATCH(Table1[[#This Row],[ID]],INDIRECT("NOTA_.xlsx!"&amp;Table1[[#This Row],[1_h]]&amp;"[ID]"),0)),"")</f>
        <v>12166308</v>
      </c>
      <c r="K8" s="5">
        <f ca="1">IFERROR(INDEX(INDIRECT("NOTA_.xlsx!"&amp;Table1[[#This Row],[1_h]]&amp;"[diskon]"),MATCH(Table1[[#This Row],[ID]],INDIRECT("NOTA_.xlsx!"&amp;Table1[[#This Row],[1_h]]&amp;"[ID]"),0)),"")</f>
        <v>387828</v>
      </c>
      <c r="L8" s="5">
        <f ca="1">IFERROR(INDEX(INDIRECT("NOTA_.xlsx!"&amp;Table1[[#This Row],[1_h]]&amp;"[Dpp]"),MATCH(Table1[[#This Row],[ID]],INDIRECT("NOTA_.xlsx!"&amp;Table1[[#This Row],[1_h]]&amp;"[ID]"),0)),"")</f>
        <v>10611243.243243242</v>
      </c>
      <c r="M8" s="5">
        <f ca="1">IFERROR(INDEX(INDIRECT("NOTA_.xlsx!"&amp;Table1[[#This Row],[1_h]]&amp;"[ppn (11%)]"),MATCH(Table1[[#This Row],[ID]],INDIRECT("NOTA_.xlsx!"&amp;Table1[[#This Row],[1_h]]&amp;"[ID]"),0)),"")</f>
        <v>1167236.7567567567</v>
      </c>
      <c r="N8" s="5">
        <f ca="1">IFERROR(INDEX(INDIRECT("NOTA_.xlsx!"&amp;Table1[[#This Row],[1_h]]&amp;"[total]"),MATCH(Table1[[#This Row],[ID]],INDIRECT("NOTA_.xlsx!"&amp;Table1[[#This Row],[1_h]]&amp;"[ID]"),0)),"")</f>
        <v>11778479.999999998</v>
      </c>
      <c r="O8" s="59" t="str">
        <f ca="1">IF(Table1[[#This Row],[NAMA SUPPLIER]]="","",INDEX(conv1[2],MATCH(Table1[[#This Row],[NAMA SUPPLIER]],conv1[1],0)))</f>
        <v>ATALI</v>
      </c>
      <c r="P8" s="4">
        <f ca="1">IF(Table1[[#This Row],[NO. INVOICE]]="","",_xlfn.IFNA(MATCH(Table1[[#This Row],[NO. INVOICE]],'[3]REKAP PEMBELIAN'!$C:$C,0),MATCH(VALUE(Table1[[#This Row],[NO. INVOICE]]),'[3]REKAP PEMBELIAN'!$C:$C,0)))</f>
        <v>377</v>
      </c>
    </row>
    <row r="9" spans="1:16" x14ac:dyDescent="0.25">
      <c r="A9" s="6">
        <f ca="1">IF(Table1[[#This Row],[NAMA SUPPLIER]]="","",MATCH(Table1[[#This Row],[N_ID]],INDIRECT(Table1[[#This Row],[1_h]]&amp;"[N_ID]"),0))</f>
        <v>15</v>
      </c>
      <c r="B9" s="2" t="s">
        <v>57</v>
      </c>
      <c r="C9" s="6">
        <f ca="1">_xlfn.IFNA(INDEX([6]!PAJAK[ID],MATCH(Table1[[#This Row],[N_ID]],[6]!PAJAK[ID_P],0)),"")</f>
        <v>74</v>
      </c>
      <c r="D9" s="6">
        <f ca="1">IF(Table1[[#This Row],[ID]]="","",INDEX([6]!PAJAK[QB],MATCH(Table1[[#This Row],[ID]],[6]!PAJAK[ID],0)))</f>
        <v>6</v>
      </c>
      <c r="E9" s="3">
        <f ca="1">INDEX([6]!PAJAK[TGL.MASUK],MATCH(Table1[[#This Row],[ID]],[6]!PAJAK[ID],0))</f>
        <v>44756</v>
      </c>
      <c r="F9" s="3">
        <f ca="1">INDEX([6]!PAJAK[TGL.NOTA],MATCH(Table1[[#This Row],[ID]],[6]!PAJAK[ID],0))</f>
        <v>44747</v>
      </c>
      <c r="G9" s="6" t="str">
        <f ca="1">INDEX([6]!PAJAK[NO.NOTA],MATCH(Table1[[#This Row],[ID]],[6]!PAJAK[ID],0))</f>
        <v>SA220709393</v>
      </c>
      <c r="I9" s="4" t="str">
        <f ca="1">INDEX([6]!PAJAK[SUPPLIER],MATCH(Table1[[#This Row],[ID]],[6]!PAJAK[ID],0))</f>
        <v>PT ATALI MAKMUR</v>
      </c>
      <c r="J9" s="5">
        <f ca="1">IFERROR(INDEX(INDIRECT("NOTA_.xlsx!"&amp;Table1[[#This Row],[1_h]]&amp;"[sub total]"),MATCH(Table1[[#This Row],[ID]],INDIRECT("NOTA_.xlsx!"&amp;Table1[[#This Row],[1_h]]&amp;"[ID]"),0)),"")</f>
        <v>14745909.5</v>
      </c>
      <c r="K9" s="5">
        <f ca="1">IFERROR(INDEX(INDIRECT("NOTA_.xlsx!"&amp;Table1[[#This Row],[1_h]]&amp;"[diskon]"),MATCH(Table1[[#This Row],[ID]],INDIRECT("NOTA_.xlsx!"&amp;Table1[[#This Row],[1_h]]&amp;"[ID]"),0)),"")</f>
        <v>258552</v>
      </c>
      <c r="L9" s="5">
        <f ca="1">IFERROR(INDEX(INDIRECT("NOTA_.xlsx!"&amp;Table1[[#This Row],[1_h]]&amp;"[Dpp]"),MATCH(Table1[[#This Row],[ID]],INDIRECT("NOTA_.xlsx!"&amp;Table1[[#This Row],[1_h]]&amp;"[ID]"),0)),"")</f>
        <v>13051673.423423423</v>
      </c>
      <c r="M9" s="5">
        <f ca="1">IFERROR(INDEX(INDIRECT("NOTA_.xlsx!"&amp;Table1[[#This Row],[1_h]]&amp;"[ppn (11%)]"),MATCH(Table1[[#This Row],[ID]],INDIRECT("NOTA_.xlsx!"&amp;Table1[[#This Row],[1_h]]&amp;"[ID]"),0)),"")</f>
        <v>1435684.0765765766</v>
      </c>
      <c r="N9" s="5">
        <f ca="1">IFERROR(INDEX(INDIRECT("NOTA_.xlsx!"&amp;Table1[[#This Row],[1_h]]&amp;"[total]"),MATCH(Table1[[#This Row],[ID]],INDIRECT("NOTA_.xlsx!"&amp;Table1[[#This Row],[1_h]]&amp;"[ID]"),0)),"")</f>
        <v>14487357.5</v>
      </c>
      <c r="O9" s="59" t="str">
        <f ca="1">IF(Table1[[#This Row],[NAMA SUPPLIER]]="","",INDEX(conv1[2],MATCH(Table1[[#This Row],[NAMA SUPPLIER]],conv1[1],0)))</f>
        <v>ATALI</v>
      </c>
      <c r="P9" s="4">
        <f ca="1">IF(Table1[[#This Row],[NO. INVOICE]]="","",_xlfn.IFNA(MATCH(Table1[[#This Row],[NO. INVOICE]],'[3]REKAP PEMBELIAN'!$C:$C,0),MATCH(VALUE(Table1[[#This Row],[NO. INVOICE]]),'[3]REKAP PEMBELIAN'!$C:$C,0)))</f>
        <v>378</v>
      </c>
    </row>
    <row r="10" spans="1:16" x14ac:dyDescent="0.25">
      <c r="A10" s="6">
        <f ca="1">IF(Table1[[#This Row],[NAMA SUPPLIER]]="","",MATCH(Table1[[#This Row],[N_ID]],INDIRECT(Table1[[#This Row],[1_h]]&amp;"[N_ID]"),0))</f>
        <v>22</v>
      </c>
      <c r="B10" s="2" t="s">
        <v>58</v>
      </c>
      <c r="C10" s="6">
        <f ca="1">_xlfn.IFNA(INDEX([6]!PAJAK[ID],MATCH(Table1[[#This Row],[N_ID]],[6]!PAJAK[ID_P],0)),"")</f>
        <v>47</v>
      </c>
      <c r="D10" s="6">
        <f ca="1">IF(Table1[[#This Row],[ID]]="","",INDEX([6]!PAJAK[QB],MATCH(Table1[[#This Row],[ID]],[6]!PAJAK[ID],0)))</f>
        <v>4</v>
      </c>
      <c r="E10" s="3">
        <f ca="1">INDEX([6]!PAJAK[TGL.MASUK],MATCH(Table1[[#This Row],[ID]],[6]!PAJAK[ID],0))</f>
        <v>44753</v>
      </c>
      <c r="F10" s="3">
        <f ca="1">INDEX([6]!PAJAK[TGL.NOTA],MATCH(Table1[[#This Row],[ID]],[6]!PAJAK[ID],0))</f>
        <v>44748</v>
      </c>
      <c r="G10" s="6" t="str">
        <f ca="1">INDEX([6]!PAJAK[NO.NOTA],MATCH(Table1[[#This Row],[ID]],[6]!PAJAK[ID],0))</f>
        <v>SA220709474</v>
      </c>
      <c r="I10" s="4" t="str">
        <f ca="1">INDEX([6]!PAJAK[SUPPLIER],MATCH(Table1[[#This Row],[ID]],[6]!PAJAK[ID],0))</f>
        <v>PT ATALI MAKMUR</v>
      </c>
      <c r="J10" s="5">
        <f ca="1">IFERROR(INDEX(INDIRECT("NOTA_.xlsx!"&amp;Table1[[#This Row],[1_h]]&amp;"[sub total]"),MATCH(Table1[[#This Row],[ID]],INDIRECT("NOTA_.xlsx!"&amp;Table1[[#This Row],[1_h]]&amp;"[ID]"),0)),"")</f>
        <v>8147580</v>
      </c>
      <c r="K10" s="5">
        <f ca="1">IFERROR(INDEX(INDIRECT("NOTA_.xlsx!"&amp;Table1[[#This Row],[1_h]]&amp;"[diskon]"),MATCH(Table1[[#This Row],[ID]],INDIRECT("NOTA_.xlsx!"&amp;Table1[[#This Row],[1_h]]&amp;"[ID]"),0)),"")</f>
        <v>0</v>
      </c>
      <c r="L10" s="5">
        <f ca="1">IFERROR(INDEX(INDIRECT("NOTA_.xlsx!"&amp;Table1[[#This Row],[1_h]]&amp;"[Dpp]"),MATCH(Table1[[#This Row],[ID]],INDIRECT("NOTA_.xlsx!"&amp;Table1[[#This Row],[1_h]]&amp;"[ID]"),0)),"")</f>
        <v>7340162.1621621614</v>
      </c>
      <c r="M10" s="5">
        <f ca="1">IFERROR(INDEX(INDIRECT("NOTA_.xlsx!"&amp;Table1[[#This Row],[1_h]]&amp;"[ppn (11%)]"),MATCH(Table1[[#This Row],[ID]],INDIRECT("NOTA_.xlsx!"&amp;Table1[[#This Row],[1_h]]&amp;"[ID]"),0)),"")</f>
        <v>807417.83783783775</v>
      </c>
      <c r="N10" s="5">
        <f ca="1">IFERROR(INDEX(INDIRECT("NOTA_.xlsx!"&amp;Table1[[#This Row],[1_h]]&amp;"[total]"),MATCH(Table1[[#This Row],[ID]],INDIRECT("NOTA_.xlsx!"&amp;Table1[[#This Row],[1_h]]&amp;"[ID]"),0)),"")</f>
        <v>8147579.9999999991</v>
      </c>
      <c r="O10" s="59" t="str">
        <f ca="1">IF(Table1[[#This Row],[NAMA SUPPLIER]]="","",INDEX(conv1[2],MATCH(Table1[[#This Row],[NAMA SUPPLIER]],conv1[1],0)))</f>
        <v>ATALI</v>
      </c>
      <c r="P10" s="4">
        <f ca="1">IF(Table1[[#This Row],[NO. INVOICE]]="","",_xlfn.IFNA(MATCH(Table1[[#This Row],[NO. INVOICE]],'[3]REKAP PEMBELIAN'!$C:$C,0),MATCH(VALUE(Table1[[#This Row],[NO. INVOICE]]),'[3]REKAP PEMBELIAN'!$C:$C,0)))</f>
        <v>379</v>
      </c>
    </row>
    <row r="11" spans="1:16" x14ac:dyDescent="0.25">
      <c r="A11" s="6">
        <f ca="1">IF(Table1[[#This Row],[NAMA SUPPLIER]]="","",MATCH(Table1[[#This Row],[N_ID]],INDIRECT(Table1[[#This Row],[1_h]]&amp;"[N_ID]"),0))</f>
        <v>27</v>
      </c>
      <c r="B11" s="2" t="s">
        <v>59</v>
      </c>
      <c r="C11" s="6">
        <f ca="1">_xlfn.IFNA(INDEX([6]!PAJAK[ID],MATCH(Table1[[#This Row],[N_ID]],[6]!PAJAK[ID_P],0)),"")</f>
        <v>48</v>
      </c>
      <c r="D11" s="6">
        <f ca="1">IF(Table1[[#This Row],[ID]]="","",INDEX([6]!PAJAK[QB],MATCH(Table1[[#This Row],[ID]],[6]!PAJAK[ID],0)))</f>
        <v>7</v>
      </c>
      <c r="E11" s="3">
        <f ca="1">INDEX([6]!PAJAK[TGL.MASUK],MATCH(Table1[[#This Row],[ID]],[6]!PAJAK[ID],0))</f>
        <v>44753</v>
      </c>
      <c r="F11" s="3">
        <f ca="1">INDEX([6]!PAJAK[TGL.NOTA],MATCH(Table1[[#This Row],[ID]],[6]!PAJAK[ID],0))</f>
        <v>44748</v>
      </c>
      <c r="G11" s="6" t="str">
        <f ca="1">INDEX([6]!PAJAK[NO.NOTA],MATCH(Table1[[#This Row],[ID]],[6]!PAJAK[ID],0))</f>
        <v>SA220709496</v>
      </c>
      <c r="I11" s="4" t="str">
        <f ca="1">INDEX([6]!PAJAK[SUPPLIER],MATCH(Table1[[#This Row],[ID]],[6]!PAJAK[ID],0))</f>
        <v>PT ATALI MAKMUR</v>
      </c>
      <c r="J11" s="5">
        <f ca="1">IFERROR(INDEX(INDIRECT("NOTA_.xlsx!"&amp;Table1[[#This Row],[1_h]]&amp;"[sub total]"),MATCH(Table1[[#This Row],[ID]],INDIRECT("NOTA_.xlsx!"&amp;Table1[[#This Row],[1_h]]&amp;"[ID]"),0)),"")</f>
        <v>20427802.5</v>
      </c>
      <c r="K11" s="5">
        <f ca="1">IFERROR(INDEX(INDIRECT("NOTA_.xlsx!"&amp;Table1[[#This Row],[1_h]]&amp;"[diskon]"),MATCH(Table1[[#This Row],[ID]],INDIRECT("NOTA_.xlsx!"&amp;Table1[[#This Row],[1_h]]&amp;"[ID]"),0)),"")</f>
        <v>1005480</v>
      </c>
      <c r="L11" s="5">
        <f ca="1">IFERROR(INDEX(INDIRECT("NOTA_.xlsx!"&amp;Table1[[#This Row],[1_h]]&amp;"[Dpp]"),MATCH(Table1[[#This Row],[ID]],INDIRECT("NOTA_.xlsx!"&amp;Table1[[#This Row],[1_h]]&amp;"[ID]"),0)),"")</f>
        <v>17497587.837837838</v>
      </c>
      <c r="M11" s="5">
        <f ca="1">IFERROR(INDEX(INDIRECT("NOTA_.xlsx!"&amp;Table1[[#This Row],[1_h]]&amp;"[ppn (11%)]"),MATCH(Table1[[#This Row],[ID]],INDIRECT("NOTA_.xlsx!"&amp;Table1[[#This Row],[1_h]]&amp;"[ID]"),0)),"")</f>
        <v>1924734.6621621621</v>
      </c>
      <c r="N11" s="5">
        <f ca="1">IFERROR(INDEX(INDIRECT("NOTA_.xlsx!"&amp;Table1[[#This Row],[1_h]]&amp;"[total]"),MATCH(Table1[[#This Row],[ID]],INDIRECT("NOTA_.xlsx!"&amp;Table1[[#This Row],[1_h]]&amp;"[ID]"),0)),"")</f>
        <v>19422322.5</v>
      </c>
      <c r="O11" s="59" t="str">
        <f ca="1">IF(Table1[[#This Row],[NAMA SUPPLIER]]="","",INDEX(conv1[2],MATCH(Table1[[#This Row],[NAMA SUPPLIER]],conv1[1],0)))</f>
        <v>ATALI</v>
      </c>
      <c r="P11" s="4">
        <f ca="1">IF(Table1[[#This Row],[NO. INVOICE]]="","",_xlfn.IFNA(MATCH(Table1[[#This Row],[NO. INVOICE]],'[3]REKAP PEMBELIAN'!$C:$C,0),MATCH(VALUE(Table1[[#This Row],[NO. INVOICE]]),'[3]REKAP PEMBELIAN'!$C:$C,0)))</f>
        <v>380</v>
      </c>
    </row>
    <row r="12" spans="1:16" x14ac:dyDescent="0.25">
      <c r="A12" s="6">
        <f ca="1">IF(Table1[[#This Row],[NAMA SUPPLIER]]="","",MATCH(Table1[[#This Row],[N_ID]],INDIRECT(Table1[[#This Row],[1_h]]&amp;"[N_ID]"),0))</f>
        <v>35</v>
      </c>
      <c r="B12" s="2" t="s">
        <v>60</v>
      </c>
      <c r="C12" s="6">
        <f ca="1">_xlfn.IFNA(INDEX([6]!PAJAK[ID],MATCH(Table1[[#This Row],[N_ID]],[6]!PAJAK[ID_P],0)),"")</f>
        <v>73</v>
      </c>
      <c r="D12" s="6">
        <f ca="1">IF(Table1[[#This Row],[ID]]="","",INDEX([6]!PAJAK[QB],MATCH(Table1[[#This Row],[ID]],[6]!PAJAK[ID],0)))</f>
        <v>2</v>
      </c>
      <c r="E12" s="3">
        <f ca="1">INDEX([6]!PAJAK[TGL.MASUK],MATCH(Table1[[#This Row],[ID]],[6]!PAJAK[ID],0))</f>
        <v>44756</v>
      </c>
      <c r="F12" s="3">
        <f ca="1">INDEX([6]!PAJAK[TGL.NOTA],MATCH(Table1[[#This Row],[ID]],[6]!PAJAK[ID],0))</f>
        <v>44750</v>
      </c>
      <c r="G12" s="6" t="str">
        <f ca="1">INDEX([6]!PAJAK[NO.NOTA],MATCH(Table1[[#This Row],[ID]],[6]!PAJAK[ID],0))</f>
        <v>SA220709637</v>
      </c>
      <c r="I12" s="4" t="str">
        <f ca="1">INDEX([6]!PAJAK[SUPPLIER],MATCH(Table1[[#This Row],[ID]],[6]!PAJAK[ID],0))</f>
        <v>PT ATALI MAKMUR</v>
      </c>
      <c r="J12" s="5">
        <f ca="1">IFERROR(INDEX(INDIRECT("NOTA_.xlsx!"&amp;Table1[[#This Row],[1_h]]&amp;"[sub total]"),MATCH(Table1[[#This Row],[ID]],INDIRECT("NOTA_.xlsx!"&amp;Table1[[#This Row],[1_h]]&amp;"[ID]"),0)),"")</f>
        <v>32817750</v>
      </c>
      <c r="K12" s="5">
        <f ca="1">IFERROR(INDEX(INDIRECT("NOTA_.xlsx!"&amp;Table1[[#This Row],[1_h]]&amp;"[diskon]"),MATCH(Table1[[#This Row],[ID]],INDIRECT("NOTA_.xlsx!"&amp;Table1[[#This Row],[1_h]]&amp;"[ID]"),0)),"")</f>
        <v>2748872</v>
      </c>
      <c r="L12" s="5">
        <f ca="1">IFERROR(INDEX(INDIRECT("NOTA_.xlsx!"&amp;Table1[[#This Row],[1_h]]&amp;"[Dpp]"),MATCH(Table1[[#This Row],[ID]],INDIRECT("NOTA_.xlsx!"&amp;Table1[[#This Row],[1_h]]&amp;"[ID]"),0)),"")</f>
        <v>27089079.279279277</v>
      </c>
      <c r="M12" s="5">
        <f ca="1">IFERROR(INDEX(INDIRECT("NOTA_.xlsx!"&amp;Table1[[#This Row],[1_h]]&amp;"[ppn (11%)]"),MATCH(Table1[[#This Row],[ID]],INDIRECT("NOTA_.xlsx!"&amp;Table1[[#This Row],[1_h]]&amp;"[ID]"),0)),"")</f>
        <v>2979798.7207207205</v>
      </c>
      <c r="N12" s="5">
        <f ca="1">IFERROR(INDEX(INDIRECT("NOTA_.xlsx!"&amp;Table1[[#This Row],[1_h]]&amp;"[total]"),MATCH(Table1[[#This Row],[ID]],INDIRECT("NOTA_.xlsx!"&amp;Table1[[#This Row],[1_h]]&amp;"[ID]"),0)),"")</f>
        <v>30068877.999999996</v>
      </c>
      <c r="O12" s="59" t="str">
        <f ca="1">IF(Table1[[#This Row],[NAMA SUPPLIER]]="","",INDEX(conv1[2],MATCH(Table1[[#This Row],[NAMA SUPPLIER]],conv1[1],0)))</f>
        <v>ATALI</v>
      </c>
      <c r="P12" s="4">
        <f ca="1">IF(Table1[[#This Row],[NO. INVOICE]]="","",_xlfn.IFNA(MATCH(Table1[[#This Row],[NO. INVOICE]],'[3]REKAP PEMBELIAN'!$C:$C,0),MATCH(VALUE(Table1[[#This Row],[NO. INVOICE]]),'[3]REKAP PEMBELIAN'!$C:$C,0)))</f>
        <v>381</v>
      </c>
    </row>
    <row r="13" spans="1:16" x14ac:dyDescent="0.25">
      <c r="A13" s="6">
        <f ca="1">IF(Table1[[#This Row],[NAMA SUPPLIER]]="","",MATCH(Table1[[#This Row],[N_ID]],INDIRECT(Table1[[#This Row],[1_h]]&amp;"[N_ID]"),0))</f>
        <v>38</v>
      </c>
      <c r="B13" s="2" t="s">
        <v>61</v>
      </c>
      <c r="C13" s="6">
        <f ca="1">_xlfn.IFNA(INDEX([6]!PAJAK[ID],MATCH(Table1[[#This Row],[N_ID]],[6]!PAJAK[ID_P],0)),"")</f>
        <v>75</v>
      </c>
      <c r="D13" s="6">
        <f ca="1">IF(Table1[[#This Row],[ID]]="","",INDEX([6]!PAJAK[QB],MATCH(Table1[[#This Row],[ID]],[6]!PAJAK[ID],0)))</f>
        <v>4</v>
      </c>
      <c r="E13" s="3">
        <f ca="1">INDEX([6]!PAJAK[TGL.MASUK],MATCH(Table1[[#This Row],[ID]],[6]!PAJAK[ID],0))</f>
        <v>44756</v>
      </c>
      <c r="F13" s="3">
        <f ca="1">INDEX([6]!PAJAK[TGL.NOTA],MATCH(Table1[[#This Row],[ID]],[6]!PAJAK[ID],0))</f>
        <v>44753</v>
      </c>
      <c r="G13" s="6" t="str">
        <f ca="1">INDEX([6]!PAJAK[NO.NOTA],MATCH(Table1[[#This Row],[ID]],[6]!PAJAK[ID],0))</f>
        <v>SA220709739</v>
      </c>
      <c r="I13" s="4" t="str">
        <f ca="1">INDEX([6]!PAJAK[SUPPLIER],MATCH(Table1[[#This Row],[ID]],[6]!PAJAK[ID],0))</f>
        <v>PT ATALI MAKMUR</v>
      </c>
      <c r="J13" s="5">
        <f ca="1">IFERROR(INDEX(INDIRECT("NOTA_.xlsx!"&amp;Table1[[#This Row],[1_h]]&amp;"[sub total]"),MATCH(Table1[[#This Row],[ID]],INDIRECT("NOTA_.xlsx!"&amp;Table1[[#This Row],[1_h]]&amp;"[ID]"),0)),"")</f>
        <v>5622508.5</v>
      </c>
      <c r="K13" s="5">
        <f ca="1">IFERROR(INDEX(INDIRECT("NOTA_.xlsx!"&amp;Table1[[#This Row],[1_h]]&amp;"[diskon]"),MATCH(Table1[[#This Row],[ID]],INDIRECT("NOTA_.xlsx!"&amp;Table1[[#This Row],[1_h]]&amp;"[ID]"),0)),"")</f>
        <v>129276</v>
      </c>
      <c r="L13" s="5">
        <f ca="1">IFERROR(INDEX(INDIRECT("NOTA_.xlsx!"&amp;Table1[[#This Row],[1_h]]&amp;"[Dpp]"),MATCH(Table1[[#This Row],[ID]],INDIRECT("NOTA_.xlsx!"&amp;Table1[[#This Row],[1_h]]&amp;"[ID]"),0)),"")</f>
        <v>4948858.1081081079</v>
      </c>
      <c r="M13" s="5">
        <f ca="1">IFERROR(INDEX(INDIRECT("NOTA_.xlsx!"&amp;Table1[[#This Row],[1_h]]&amp;"[ppn (11%)]"),MATCH(Table1[[#This Row],[ID]],INDIRECT("NOTA_.xlsx!"&amp;Table1[[#This Row],[1_h]]&amp;"[ID]"),0)),"")</f>
        <v>544374.39189189184</v>
      </c>
      <c r="N13" s="5">
        <f ca="1">IFERROR(INDEX(INDIRECT("NOTA_.xlsx!"&amp;Table1[[#This Row],[1_h]]&amp;"[total]"),MATCH(Table1[[#This Row],[ID]],INDIRECT("NOTA_.xlsx!"&amp;Table1[[#This Row],[1_h]]&amp;"[ID]"),0)),"")</f>
        <v>5493232.5</v>
      </c>
      <c r="O13" s="59" t="str">
        <f ca="1">IF(Table1[[#This Row],[NAMA SUPPLIER]]="","",INDEX(conv1[2],MATCH(Table1[[#This Row],[NAMA SUPPLIER]],conv1[1],0)))</f>
        <v>ATALI</v>
      </c>
      <c r="P13" s="4">
        <f ca="1">IF(Table1[[#This Row],[NO. INVOICE]]="","",_xlfn.IFNA(MATCH(Table1[[#This Row],[NO. INVOICE]],'[3]REKAP PEMBELIAN'!$C:$C,0),MATCH(VALUE(Table1[[#This Row],[NO. INVOICE]]),'[3]REKAP PEMBELIAN'!$C:$C,0)))</f>
        <v>382</v>
      </c>
    </row>
    <row r="14" spans="1:16" x14ac:dyDescent="0.25">
      <c r="A14" s="6">
        <f ca="1">IF(Table1[[#This Row],[NAMA SUPPLIER]]="","",MATCH(Table1[[#This Row],[N_ID]],INDIRECT(Table1[[#This Row],[1_h]]&amp;"[N_ID]"),0))</f>
        <v>43</v>
      </c>
      <c r="B14" s="2" t="s">
        <v>77</v>
      </c>
      <c r="C14" s="6">
        <f ca="1">_xlfn.IFNA(INDEX([6]!PAJAK[ID],MATCH(Table1[[#This Row],[N_ID]],[6]!PAJAK[ID_P],0)),"")</f>
        <v>107</v>
      </c>
      <c r="D14" s="6">
        <f ca="1">IF(Table1[[#This Row],[ID]]="","",INDEX([6]!PAJAK[QB],MATCH(Table1[[#This Row],[ID]],[6]!PAJAK[ID],0)))</f>
        <v>8</v>
      </c>
      <c r="E14" s="3">
        <f ca="1">INDEX([6]!PAJAK[TGL.MASUK],MATCH(Table1[[#This Row],[ID]],[6]!PAJAK[ID],0))</f>
        <v>44760</v>
      </c>
      <c r="F14" s="3">
        <f ca="1">INDEX([6]!PAJAK[TGL.NOTA],MATCH(Table1[[#This Row],[ID]],[6]!PAJAK[ID],0))</f>
        <v>44754</v>
      </c>
      <c r="G14" s="6" t="str">
        <f ca="1">INDEX([6]!PAJAK[NO.NOTA],MATCH(Table1[[#This Row],[ID]],[6]!PAJAK[ID],0))</f>
        <v>SA220709806</v>
      </c>
      <c r="I14" s="4" t="str">
        <f ca="1">INDEX([6]!PAJAK[SUPPLIER],MATCH(Table1[[#This Row],[ID]],[6]!PAJAK[ID],0))</f>
        <v>PT ATALI MAKMUR</v>
      </c>
      <c r="J14" s="5">
        <f ca="1">IFERROR(INDEX(INDIRECT("NOTA_.xlsx!"&amp;Table1[[#This Row],[1_h]]&amp;"[sub total]"),MATCH(Table1[[#This Row],[ID]],INDIRECT("NOTA_.xlsx!"&amp;Table1[[#This Row],[1_h]]&amp;"[ID]"),0)),"")</f>
        <v>25992023.75</v>
      </c>
      <c r="K14" s="5">
        <f ca="1">IFERROR(INDEX(INDIRECT("NOTA_.xlsx!"&amp;Table1[[#This Row],[1_h]]&amp;"[diskon]"),MATCH(Table1[[#This Row],[ID]],INDIRECT("NOTA_.xlsx!"&amp;Table1[[#This Row],[1_h]]&amp;"[ID]"),0)),"")</f>
        <v>0</v>
      </c>
      <c r="L14" s="5">
        <f ca="1">IFERROR(INDEX(INDIRECT("NOTA_.xlsx!"&amp;Table1[[#This Row],[1_h]]&amp;"[Dpp]"),MATCH(Table1[[#This Row],[ID]],INDIRECT("NOTA_.xlsx!"&amp;Table1[[#This Row],[1_h]]&amp;"[ID]"),0)),"")</f>
        <v>23416237.612612609</v>
      </c>
      <c r="M14" s="5">
        <f ca="1">IFERROR(INDEX(INDIRECT("NOTA_.xlsx!"&amp;Table1[[#This Row],[1_h]]&amp;"[ppn (11%)]"),MATCH(Table1[[#This Row],[ID]],INDIRECT("NOTA_.xlsx!"&amp;Table1[[#This Row],[1_h]]&amp;"[ID]"),0)),"")</f>
        <v>2575786.137387387</v>
      </c>
      <c r="N14" s="5">
        <f ca="1">IFERROR(INDEX(INDIRECT("NOTA_.xlsx!"&amp;Table1[[#This Row],[1_h]]&amp;"[total]"),MATCH(Table1[[#This Row],[ID]],INDIRECT("NOTA_.xlsx!"&amp;Table1[[#This Row],[1_h]]&amp;"[ID]"),0)),"")</f>
        <v>25992023.749999996</v>
      </c>
      <c r="O14" s="59" t="str">
        <f ca="1">IF(Table1[[#This Row],[NAMA SUPPLIER]]="","",INDEX(conv1[2],MATCH(Table1[[#This Row],[NAMA SUPPLIER]],conv1[1],0)))</f>
        <v>ATALI</v>
      </c>
      <c r="P14" s="4">
        <f ca="1">IF(Table1[[#This Row],[NO. INVOICE]]="","",_xlfn.IFNA(MATCH(Table1[[#This Row],[NO. INVOICE]],'[3]REKAP PEMBELIAN'!$C:$C,0),MATCH(VALUE(Table1[[#This Row],[NO. INVOICE]]),'[3]REKAP PEMBELIAN'!$C:$C,0)))</f>
        <v>383</v>
      </c>
    </row>
    <row r="15" spans="1:16" x14ac:dyDescent="0.25">
      <c r="A15" s="6">
        <f ca="1">IF(Table1[[#This Row],[NAMA SUPPLIER]]="","",MATCH(Table1[[#This Row],[N_ID]],INDIRECT(Table1[[#This Row],[1_h]]&amp;"[N_ID]"),0))</f>
        <v>52</v>
      </c>
      <c r="B15" s="2" t="s">
        <v>78</v>
      </c>
      <c r="C15" s="6">
        <f ca="1">_xlfn.IFNA(INDEX([6]!PAJAK[ID],MATCH(Table1[[#This Row],[N_ID]],[6]!PAJAK[ID_P],0)),"")</f>
        <v>108</v>
      </c>
      <c r="D15" s="6">
        <f ca="1">IF(Table1[[#This Row],[ID]]="","",INDEX([6]!PAJAK[QB],MATCH(Table1[[#This Row],[ID]],[6]!PAJAK[ID],0)))</f>
        <v>7</v>
      </c>
      <c r="E15" s="3">
        <f ca="1">INDEX([6]!PAJAK[TGL.MASUK],MATCH(Table1[[#This Row],[ID]],[6]!PAJAK[ID],0))</f>
        <v>44760</v>
      </c>
      <c r="F15" s="3">
        <f ca="1">INDEX([6]!PAJAK[TGL.NOTA],MATCH(Table1[[#This Row],[ID]],[6]!PAJAK[ID],0))</f>
        <v>44754</v>
      </c>
      <c r="G15" s="6" t="str">
        <f ca="1">INDEX([6]!PAJAK[NO.NOTA],MATCH(Table1[[#This Row],[ID]],[6]!PAJAK[ID],0))</f>
        <v>SA220709807</v>
      </c>
      <c r="I15" s="4" t="str">
        <f ca="1">INDEX([6]!PAJAK[SUPPLIER],MATCH(Table1[[#This Row],[ID]],[6]!PAJAK[ID],0))</f>
        <v>PT ATALI MAKMUR</v>
      </c>
      <c r="J15" s="5">
        <f ca="1">IFERROR(INDEX(INDIRECT("NOTA_.xlsx!"&amp;Table1[[#This Row],[1_h]]&amp;"[sub total]"),MATCH(Table1[[#This Row],[ID]],INDIRECT("NOTA_.xlsx!"&amp;Table1[[#This Row],[1_h]]&amp;"[ID]"),0)),"")</f>
        <v>4538226</v>
      </c>
      <c r="K15" s="5">
        <f ca="1">IFERROR(INDEX(INDIRECT("NOTA_.xlsx!"&amp;Table1[[#This Row],[1_h]]&amp;"[diskon]"),MATCH(Table1[[#This Row],[ID]],INDIRECT("NOTA_.xlsx!"&amp;Table1[[#This Row],[1_h]]&amp;"[ID]"),0)),"")</f>
        <v>129276</v>
      </c>
      <c r="L15" s="5">
        <f ca="1">IFERROR(INDEX(INDIRECT("NOTA_.xlsx!"&amp;Table1[[#This Row],[1_h]]&amp;"[Dpp]"),MATCH(Table1[[#This Row],[ID]],INDIRECT("NOTA_.xlsx!"&amp;Table1[[#This Row],[1_h]]&amp;"[ID]"),0)),"")</f>
        <v>3972027.0270270268</v>
      </c>
      <c r="M15" s="5">
        <f ca="1">IFERROR(INDEX(INDIRECT("NOTA_.xlsx!"&amp;Table1[[#This Row],[1_h]]&amp;"[ppn (11%)]"),MATCH(Table1[[#This Row],[ID]],INDIRECT("NOTA_.xlsx!"&amp;Table1[[#This Row],[1_h]]&amp;"[ID]"),0)),"")</f>
        <v>436922.97297297296</v>
      </c>
      <c r="N15" s="5">
        <f ca="1">IFERROR(INDEX(INDIRECT("NOTA_.xlsx!"&amp;Table1[[#This Row],[1_h]]&amp;"[total]"),MATCH(Table1[[#This Row],[ID]],INDIRECT("NOTA_.xlsx!"&amp;Table1[[#This Row],[1_h]]&amp;"[ID]"),0)),"")</f>
        <v>4408950</v>
      </c>
      <c r="O15" s="59" t="str">
        <f ca="1">IF(Table1[[#This Row],[NAMA SUPPLIER]]="","",INDEX(conv1[2],MATCH(Table1[[#This Row],[NAMA SUPPLIER]],conv1[1],0)))</f>
        <v>ATALI</v>
      </c>
      <c r="P15" s="4">
        <f ca="1">IF(Table1[[#This Row],[NO. INVOICE]]="","",_xlfn.IFNA(MATCH(Table1[[#This Row],[NO. INVOICE]],'[3]REKAP PEMBELIAN'!$C:$C,0),MATCH(VALUE(Table1[[#This Row],[NO. INVOICE]]),'[3]REKAP PEMBELIAN'!$C:$C,0)))</f>
        <v>384</v>
      </c>
    </row>
    <row r="16" spans="1:16" x14ac:dyDescent="0.25">
      <c r="A16" s="6">
        <f ca="1">IF(Table1[[#This Row],[NAMA SUPPLIER]]="","",MATCH(Table1[[#This Row],[N_ID]],INDIRECT(Table1[[#This Row],[1_h]]&amp;"[N_ID]"),0))</f>
        <v>60</v>
      </c>
      <c r="B16" s="2" t="s">
        <v>79</v>
      </c>
      <c r="C16" s="6">
        <f ca="1">_xlfn.IFNA(INDEX([6]!PAJAK[ID],MATCH(Table1[[#This Row],[N_ID]],[6]!PAJAK[ID_P],0)),"")</f>
        <v>103</v>
      </c>
      <c r="D16" s="6">
        <f ca="1">IF(Table1[[#This Row],[ID]]="","",INDEX([6]!PAJAK[QB],MATCH(Table1[[#This Row],[ID]],[6]!PAJAK[ID],0)))</f>
        <v>5</v>
      </c>
      <c r="E16" s="3">
        <f ca="1">INDEX([6]!PAJAK[TGL.MASUK],MATCH(Table1[[#This Row],[ID]],[6]!PAJAK[ID],0))</f>
        <v>44760</v>
      </c>
      <c r="F16" s="3">
        <f ca="1">INDEX([6]!PAJAK[TGL.NOTA],MATCH(Table1[[#This Row],[ID]],[6]!PAJAK[ID],0))</f>
        <v>44755</v>
      </c>
      <c r="G16" s="6" t="str">
        <f ca="1">INDEX([6]!PAJAK[NO.NOTA],MATCH(Table1[[#This Row],[ID]],[6]!PAJAK[ID],0))</f>
        <v>SA220709851</v>
      </c>
      <c r="I16" s="4" t="str">
        <f ca="1">INDEX([6]!PAJAK[SUPPLIER],MATCH(Table1[[#This Row],[ID]],[6]!PAJAK[ID],0))</f>
        <v>PT ATALI MAKMUR</v>
      </c>
      <c r="J16" s="5">
        <f ca="1">IFERROR(INDEX(INDIRECT("NOTA_.xlsx!"&amp;Table1[[#This Row],[1_h]]&amp;"[sub total]"),MATCH(Table1[[#This Row],[ID]],INDIRECT("NOTA_.xlsx!"&amp;Table1[[#This Row],[1_h]]&amp;"[ID]"),0)),"")</f>
        <v>7553070</v>
      </c>
      <c r="K16" s="5">
        <f ca="1">IFERROR(INDEX(INDIRECT("NOTA_.xlsx!"&amp;Table1[[#This Row],[1_h]]&amp;"[diskon]"),MATCH(Table1[[#This Row],[ID]],INDIRECT("NOTA_.xlsx!"&amp;Table1[[#This Row],[1_h]]&amp;"[ID]"),0)),"")</f>
        <v>0</v>
      </c>
      <c r="L16" s="5">
        <f ca="1">IFERROR(INDEX(INDIRECT("NOTA_.xlsx!"&amp;Table1[[#This Row],[1_h]]&amp;"[Dpp]"),MATCH(Table1[[#This Row],[ID]],INDIRECT("NOTA_.xlsx!"&amp;Table1[[#This Row],[1_h]]&amp;"[ID]"),0)),"")</f>
        <v>6804567.5675675673</v>
      </c>
      <c r="M16" s="5">
        <f ca="1">IFERROR(INDEX(INDIRECT("NOTA_.xlsx!"&amp;Table1[[#This Row],[1_h]]&amp;"[ppn (11%)]"),MATCH(Table1[[#This Row],[ID]],INDIRECT("NOTA_.xlsx!"&amp;Table1[[#This Row],[1_h]]&amp;"[ID]"),0)),"")</f>
        <v>748502.43243243243</v>
      </c>
      <c r="N16" s="5">
        <f ca="1">IFERROR(INDEX(INDIRECT("NOTA_.xlsx!"&amp;Table1[[#This Row],[1_h]]&amp;"[total]"),MATCH(Table1[[#This Row],[ID]],INDIRECT("NOTA_.xlsx!"&amp;Table1[[#This Row],[1_h]]&amp;"[ID]"),0)),"")</f>
        <v>7553070</v>
      </c>
      <c r="O16" s="59" t="str">
        <f ca="1">IF(Table1[[#This Row],[NAMA SUPPLIER]]="","",INDEX(conv1[2],MATCH(Table1[[#This Row],[NAMA SUPPLIER]],conv1[1],0)))</f>
        <v>ATALI</v>
      </c>
      <c r="P16" s="4">
        <f ca="1">IF(Table1[[#This Row],[NO. INVOICE]]="","",_xlfn.IFNA(MATCH(Table1[[#This Row],[NO. INVOICE]],'[3]REKAP PEMBELIAN'!$C:$C,0),MATCH(VALUE(Table1[[#This Row],[NO. INVOICE]]),'[3]REKAP PEMBELIAN'!$C:$C,0)))</f>
        <v>385</v>
      </c>
    </row>
    <row r="17" spans="1:16" x14ac:dyDescent="0.25">
      <c r="A17" s="6">
        <f ca="1">IF(Table1[[#This Row],[NAMA SUPPLIER]]="","",MATCH(Table1[[#This Row],[N_ID]],INDIRECT(Table1[[#This Row],[1_h]]&amp;"[N_ID]"),0))</f>
        <v>66</v>
      </c>
      <c r="B17" s="2" t="s">
        <v>80</v>
      </c>
      <c r="C17" s="6">
        <f ca="1">_xlfn.IFNA(INDEX([6]!PAJAK[ID],MATCH(Table1[[#This Row],[N_ID]],[6]!PAJAK[ID_P],0)),"")</f>
        <v>106</v>
      </c>
      <c r="D17" s="6">
        <f ca="1">IF(Table1[[#This Row],[ID]]="","",INDEX([6]!PAJAK[QB],MATCH(Table1[[#This Row],[ID]],[6]!PAJAK[ID],0)))</f>
        <v>10</v>
      </c>
      <c r="E17" s="3">
        <f ca="1">INDEX([6]!PAJAK[TGL.MASUK],MATCH(Table1[[#This Row],[ID]],[6]!PAJAK[ID],0))</f>
        <v>44760</v>
      </c>
      <c r="F17" s="3">
        <f ca="1">INDEX([6]!PAJAK[TGL.NOTA],MATCH(Table1[[#This Row],[ID]],[6]!PAJAK[ID],0))</f>
        <v>44755</v>
      </c>
      <c r="G17" s="6" t="str">
        <f ca="1">INDEX([6]!PAJAK[NO.NOTA],MATCH(Table1[[#This Row],[ID]],[6]!PAJAK[ID],0))</f>
        <v>SA220709914</v>
      </c>
      <c r="I17" s="4" t="str">
        <f ca="1">INDEX([6]!PAJAK[SUPPLIER],MATCH(Table1[[#This Row],[ID]],[6]!PAJAK[ID],0))</f>
        <v>PT ATALI MAKMUR</v>
      </c>
      <c r="J17" s="5">
        <f ca="1">IFERROR(INDEX(INDIRECT("NOTA_.xlsx!"&amp;Table1[[#This Row],[1_h]]&amp;"[sub total]"),MATCH(Table1[[#This Row],[ID]],INDIRECT("NOTA_.xlsx!"&amp;Table1[[#This Row],[1_h]]&amp;"[ID]"),0)),"")</f>
        <v>35377002.5</v>
      </c>
      <c r="K17" s="5">
        <f ca="1">IFERROR(INDEX(INDIRECT("NOTA_.xlsx!"&amp;Table1[[#This Row],[1_h]]&amp;"[diskon]"),MATCH(Table1[[#This Row],[ID]],INDIRECT("NOTA_.xlsx!"&amp;Table1[[#This Row],[1_h]]&amp;"[ID]"),0)),"")</f>
        <v>0</v>
      </c>
      <c r="L17" s="5">
        <f ca="1">IFERROR(INDEX(INDIRECT("NOTA_.xlsx!"&amp;Table1[[#This Row],[1_h]]&amp;"[Dpp]"),MATCH(Table1[[#This Row],[ID]],INDIRECT("NOTA_.xlsx!"&amp;Table1[[#This Row],[1_h]]&amp;"[ID]"),0)),"")</f>
        <v>31871173.423423421</v>
      </c>
      <c r="M17" s="5">
        <f ca="1">IFERROR(INDEX(INDIRECT("NOTA_.xlsx!"&amp;Table1[[#This Row],[1_h]]&amp;"[ppn (11%)]"),MATCH(Table1[[#This Row],[ID]],INDIRECT("NOTA_.xlsx!"&amp;Table1[[#This Row],[1_h]]&amp;"[ID]"),0)),"")</f>
        <v>3505829.0765765761</v>
      </c>
      <c r="N17" s="5">
        <f ca="1">IFERROR(INDEX(INDIRECT("NOTA_.xlsx!"&amp;Table1[[#This Row],[1_h]]&amp;"[total]"),MATCH(Table1[[#This Row],[ID]],INDIRECT("NOTA_.xlsx!"&amp;Table1[[#This Row],[1_h]]&amp;"[ID]"),0)),"")</f>
        <v>35377002.5</v>
      </c>
      <c r="O17" s="59" t="str">
        <f ca="1">IF(Table1[[#This Row],[NAMA SUPPLIER]]="","",INDEX(conv1[2],MATCH(Table1[[#This Row],[NAMA SUPPLIER]],conv1[1],0)))</f>
        <v>ATALI</v>
      </c>
      <c r="P17" s="4">
        <f ca="1">IF(Table1[[#This Row],[NO. INVOICE]]="","",_xlfn.IFNA(MATCH(Table1[[#This Row],[NO. INVOICE]],'[3]REKAP PEMBELIAN'!$C:$C,0),MATCH(VALUE(Table1[[#This Row],[NO. INVOICE]]),'[3]REKAP PEMBELIAN'!$C:$C,0)))</f>
        <v>386</v>
      </c>
    </row>
    <row r="18" spans="1:16" x14ac:dyDescent="0.25">
      <c r="A18" s="6">
        <f ca="1">IF(Table1[[#This Row],[NAMA SUPPLIER]]="","",MATCH(Table1[[#This Row],[N_ID]],INDIRECT(Table1[[#This Row],[1_h]]&amp;"[N_ID]"),0))</f>
        <v>77</v>
      </c>
      <c r="B18" s="2" t="s">
        <v>81</v>
      </c>
      <c r="C18" s="6">
        <f ca="1">_xlfn.IFNA(INDEX([6]!PAJAK[ID],MATCH(Table1[[#This Row],[N_ID]],[6]!PAJAK[ID_P],0)),"")</f>
        <v>104</v>
      </c>
      <c r="D18" s="6">
        <f ca="1">IF(Table1[[#This Row],[ID]]="","",INDEX([6]!PAJAK[QB],MATCH(Table1[[#This Row],[ID]],[6]!PAJAK[ID],0)))</f>
        <v>10</v>
      </c>
      <c r="E18" s="3">
        <f ca="1">INDEX([6]!PAJAK[TGL.MASUK],MATCH(Table1[[#This Row],[ID]],[6]!PAJAK[ID],0))</f>
        <v>44760</v>
      </c>
      <c r="F18" s="3">
        <f ca="1">INDEX([6]!PAJAK[TGL.NOTA],MATCH(Table1[[#This Row],[ID]],[6]!PAJAK[ID],0))</f>
        <v>44755</v>
      </c>
      <c r="G18" s="6" t="str">
        <f ca="1">INDEX([6]!PAJAK[NO.NOTA],MATCH(Table1[[#This Row],[ID]],[6]!PAJAK[ID],0))</f>
        <v>SA220709915</v>
      </c>
      <c r="I18" s="4" t="str">
        <f ca="1">INDEX([6]!PAJAK[SUPPLIER],MATCH(Table1[[#This Row],[ID]],[6]!PAJAK[ID],0))</f>
        <v>PT ATALI MAKMUR</v>
      </c>
      <c r="J18" s="5">
        <f ca="1">IFERROR(INDEX(INDIRECT("NOTA_.xlsx!"&amp;Table1[[#This Row],[1_h]]&amp;"[sub total]"),MATCH(Table1[[#This Row],[ID]],INDIRECT("NOTA_.xlsx!"&amp;Table1[[#This Row],[1_h]]&amp;"[ID]"),0)),"")</f>
        <v>9456300</v>
      </c>
      <c r="K18" s="5">
        <f ca="1">IFERROR(INDEX(INDIRECT("NOTA_.xlsx!"&amp;Table1[[#This Row],[1_h]]&amp;"[diskon]"),MATCH(Table1[[#This Row],[ID]],INDIRECT("NOTA_.xlsx!"&amp;Table1[[#This Row],[1_h]]&amp;"[ID]"),0)),"")</f>
        <v>0</v>
      </c>
      <c r="L18" s="5">
        <f ca="1">IFERROR(INDEX(INDIRECT("NOTA_.xlsx!"&amp;Table1[[#This Row],[1_h]]&amp;"[Dpp]"),MATCH(Table1[[#This Row],[ID]],INDIRECT("NOTA_.xlsx!"&amp;Table1[[#This Row],[1_h]]&amp;"[ID]"),0)),"")</f>
        <v>8519189.1891891882</v>
      </c>
      <c r="M18" s="5">
        <f ca="1">IFERROR(INDEX(INDIRECT("NOTA_.xlsx!"&amp;Table1[[#This Row],[1_h]]&amp;"[ppn (11%)]"),MATCH(Table1[[#This Row],[ID]],INDIRECT("NOTA_.xlsx!"&amp;Table1[[#This Row],[1_h]]&amp;"[ID]"),0)),"")</f>
        <v>937110.81081081065</v>
      </c>
      <c r="N18" s="5">
        <f ca="1">IFERROR(INDEX(INDIRECT("NOTA_.xlsx!"&amp;Table1[[#This Row],[1_h]]&amp;"[total]"),MATCH(Table1[[#This Row],[ID]],INDIRECT("NOTA_.xlsx!"&amp;Table1[[#This Row],[1_h]]&amp;"[ID]"),0)),"")</f>
        <v>9456299.9999999981</v>
      </c>
      <c r="O18" s="59" t="str">
        <f ca="1">IF(Table1[[#This Row],[NAMA SUPPLIER]]="","",INDEX(conv1[2],MATCH(Table1[[#This Row],[NAMA SUPPLIER]],conv1[1],0)))</f>
        <v>ATALI</v>
      </c>
      <c r="P18" s="4">
        <f ca="1">IF(Table1[[#This Row],[NO. INVOICE]]="","",_xlfn.IFNA(MATCH(Table1[[#This Row],[NO. INVOICE]],'[3]REKAP PEMBELIAN'!$C:$C,0),MATCH(VALUE(Table1[[#This Row],[NO. INVOICE]]),'[3]REKAP PEMBELIAN'!$C:$C,0)))</f>
        <v>387</v>
      </c>
    </row>
    <row r="19" spans="1:16" x14ac:dyDescent="0.25">
      <c r="A19" s="6">
        <f ca="1">IF(Table1[[#This Row],[NAMA SUPPLIER]]="","",MATCH(Table1[[#This Row],[N_ID]],INDIRECT(Table1[[#This Row],[1_h]]&amp;"[N_ID]"),0))</f>
        <v>88</v>
      </c>
      <c r="B19" s="2" t="s">
        <v>82</v>
      </c>
      <c r="C19" s="6">
        <f ca="1">_xlfn.IFNA(INDEX([6]!PAJAK[ID],MATCH(Table1[[#This Row],[N_ID]],[6]!PAJAK[ID_P],0)),"")</f>
        <v>105</v>
      </c>
      <c r="D19" s="6">
        <f ca="1">IF(Table1[[#This Row],[ID]]="","",INDEX([6]!PAJAK[QB],MATCH(Table1[[#This Row],[ID]],[6]!PAJAK[ID],0)))</f>
        <v>6</v>
      </c>
      <c r="E19" s="3">
        <f ca="1">INDEX([6]!PAJAK[TGL.MASUK],MATCH(Table1[[#This Row],[ID]],[6]!PAJAK[ID],0))</f>
        <v>44760</v>
      </c>
      <c r="F19" s="3">
        <f ca="1">INDEX([6]!PAJAK[TGL.NOTA],MATCH(Table1[[#This Row],[ID]],[6]!PAJAK[ID],0))</f>
        <v>44755</v>
      </c>
      <c r="G19" s="6" t="str">
        <f ca="1">INDEX([6]!PAJAK[NO.NOTA],MATCH(Table1[[#This Row],[ID]],[6]!PAJAK[ID],0))</f>
        <v>SA220709930</v>
      </c>
      <c r="I19" s="4" t="str">
        <f ca="1">INDEX([6]!PAJAK[SUPPLIER],MATCH(Table1[[#This Row],[ID]],[6]!PAJAK[ID],0))</f>
        <v>PT ATALI MAKMUR</v>
      </c>
      <c r="J19" s="5">
        <f ca="1">IFERROR(INDEX(INDIRECT("NOTA_.xlsx!"&amp;Table1[[#This Row],[1_h]]&amp;"[sub total]"),MATCH(Table1[[#This Row],[ID]],INDIRECT("NOTA_.xlsx!"&amp;Table1[[#This Row],[1_h]]&amp;"[ID]"),0)),"")</f>
        <v>36066607.5</v>
      </c>
      <c r="K19" s="5">
        <f ca="1">IFERROR(INDEX(INDIRECT("NOTA_.xlsx!"&amp;Table1[[#This Row],[1_h]]&amp;"[diskon]"),MATCH(Table1[[#This Row],[ID]],INDIRECT("NOTA_.xlsx!"&amp;Table1[[#This Row],[1_h]]&amp;"[ID]"),0)),"")</f>
        <v>1508220</v>
      </c>
      <c r="L19" s="5">
        <f ca="1">IFERROR(INDEX(INDIRECT("NOTA_.xlsx!"&amp;Table1[[#This Row],[1_h]]&amp;"[Dpp]"),MATCH(Table1[[#This Row],[ID]],INDIRECT("NOTA_.xlsx!"&amp;Table1[[#This Row],[1_h]]&amp;"[ID]"),0)),"")</f>
        <v>31133682.432432428</v>
      </c>
      <c r="M19" s="5">
        <f ca="1">IFERROR(INDEX(INDIRECT("NOTA_.xlsx!"&amp;Table1[[#This Row],[1_h]]&amp;"[ppn (11%)]"),MATCH(Table1[[#This Row],[ID]],INDIRECT("NOTA_.xlsx!"&amp;Table1[[#This Row],[1_h]]&amp;"[ID]"),0)),"")</f>
        <v>3424705.0675675669</v>
      </c>
      <c r="N19" s="5">
        <f ca="1">IFERROR(INDEX(INDIRECT("NOTA_.xlsx!"&amp;Table1[[#This Row],[1_h]]&amp;"[total]"),MATCH(Table1[[#This Row],[ID]],INDIRECT("NOTA_.xlsx!"&amp;Table1[[#This Row],[1_h]]&amp;"[ID]"),0)),"")</f>
        <v>34558387.499999993</v>
      </c>
      <c r="O19" s="59" t="str">
        <f ca="1">IF(Table1[[#This Row],[NAMA SUPPLIER]]="","",INDEX(conv1[2],MATCH(Table1[[#This Row],[NAMA SUPPLIER]],conv1[1],0)))</f>
        <v>ATALI</v>
      </c>
      <c r="P19" s="4">
        <f ca="1">IF(Table1[[#This Row],[NO. INVOICE]]="","",_xlfn.IFNA(MATCH(Table1[[#This Row],[NO. INVOICE]],'[3]REKAP PEMBELIAN'!$C:$C,0),MATCH(VALUE(Table1[[#This Row],[NO. INVOICE]]),'[3]REKAP PEMBELIAN'!$C:$C,0)))</f>
        <v>388</v>
      </c>
    </row>
    <row r="20" spans="1:16" x14ac:dyDescent="0.25">
      <c r="A20" s="6">
        <f ca="1">IF(Table1[[#This Row],[NAMA SUPPLIER]]="","",MATCH(Table1[[#This Row],[N_ID]],INDIRECT(Table1[[#This Row],[1_h]]&amp;"[N_ID]"),0))</f>
        <v>95</v>
      </c>
      <c r="B20" s="2" t="s">
        <v>88</v>
      </c>
      <c r="C20" s="6">
        <f ca="1">_xlfn.IFNA(INDEX([6]!PAJAK[ID],MATCH(Table1[[#This Row],[N_ID]],[6]!PAJAK[ID_P],0)),"")</f>
        <v>124</v>
      </c>
      <c r="D20" s="6">
        <f ca="1">IF(Table1[[#This Row],[ID]]="","",INDEX([6]!PAJAK[QB],MATCH(Table1[[#This Row],[ID]],[6]!PAJAK[ID],0)))</f>
        <v>1</v>
      </c>
      <c r="E20" s="3">
        <f ca="1">INDEX([6]!PAJAK[TGL.MASUK],MATCH(Table1[[#This Row],[ID]],[6]!PAJAK[ID],0))</f>
        <v>44762</v>
      </c>
      <c r="F20" s="3">
        <f ca="1">INDEX([6]!PAJAK[TGL.NOTA],MATCH(Table1[[#This Row],[ID]],[6]!PAJAK[ID],0))</f>
        <v>44756</v>
      </c>
      <c r="G20" s="6" t="str">
        <f ca="1">INDEX([6]!PAJAK[NO.NOTA],MATCH(Table1[[#This Row],[ID]],[6]!PAJAK[ID],0))</f>
        <v>SA220709953</v>
      </c>
      <c r="I20" s="4" t="str">
        <f ca="1">INDEX([6]!PAJAK[SUPPLIER],MATCH(Table1[[#This Row],[ID]],[6]!PAJAK[ID],0))</f>
        <v>PT ATALI MAKMUR</v>
      </c>
      <c r="J20" s="5">
        <f ca="1">IFERROR(INDEX(INDIRECT("NOTA_.xlsx!"&amp;Table1[[#This Row],[1_h]]&amp;"[sub total]"),MATCH(Table1[[#This Row],[ID]],INDIRECT("NOTA_.xlsx!"&amp;Table1[[#This Row],[1_h]]&amp;"[ID]"),0)),"")</f>
        <v>17236800</v>
      </c>
      <c r="K20" s="5">
        <f ca="1">IFERROR(INDEX(INDIRECT("NOTA_.xlsx!"&amp;Table1[[#This Row],[1_h]]&amp;"[diskon]"),MATCH(Table1[[#This Row],[ID]],INDIRECT("NOTA_.xlsx!"&amp;Table1[[#This Row],[1_h]]&amp;"[ID]"),0)),"")</f>
        <v>0</v>
      </c>
      <c r="L20" s="5">
        <f ca="1">IFERROR(INDEX(INDIRECT("NOTA_.xlsx!"&amp;Table1[[#This Row],[1_h]]&amp;"[Dpp]"),MATCH(Table1[[#This Row],[ID]],INDIRECT("NOTA_.xlsx!"&amp;Table1[[#This Row],[1_h]]&amp;"[ID]"),0)),"")</f>
        <v>15528648.648648648</v>
      </c>
      <c r="M20" s="5">
        <f ca="1">IFERROR(INDEX(INDIRECT("NOTA_.xlsx!"&amp;Table1[[#This Row],[1_h]]&amp;"[ppn (11%)]"),MATCH(Table1[[#This Row],[ID]],INDIRECT("NOTA_.xlsx!"&amp;Table1[[#This Row],[1_h]]&amp;"[ID]"),0)),"")</f>
        <v>1708151.3513513512</v>
      </c>
      <c r="N20" s="5">
        <f ca="1">IFERROR(INDEX(INDIRECT("NOTA_.xlsx!"&amp;Table1[[#This Row],[1_h]]&amp;"[total]"),MATCH(Table1[[#This Row],[ID]],INDIRECT("NOTA_.xlsx!"&amp;Table1[[#This Row],[1_h]]&amp;"[ID]"),0)),"")</f>
        <v>17236800</v>
      </c>
      <c r="O20" s="59" t="str">
        <f ca="1">IF(Table1[[#This Row],[NAMA SUPPLIER]]="","",INDEX(conv1[2],MATCH(Table1[[#This Row],[NAMA SUPPLIER]],conv1[1],0)))</f>
        <v>ATALI</v>
      </c>
      <c r="P20" s="4">
        <f ca="1">IF(Table1[[#This Row],[NO. INVOICE]]="","",_xlfn.IFNA(MATCH(Table1[[#This Row],[NO. INVOICE]],'[3]REKAP PEMBELIAN'!$C:$C,0),MATCH(VALUE(Table1[[#This Row],[NO. INVOICE]]),'[3]REKAP PEMBELIAN'!$C:$C,0)))</f>
        <v>389</v>
      </c>
    </row>
    <row r="21" spans="1:16" x14ac:dyDescent="0.25">
      <c r="A21" s="6">
        <f ca="1">IF(Table1[[#This Row],[NAMA SUPPLIER]]="","",MATCH(Table1[[#This Row],[N_ID]],INDIRECT(Table1[[#This Row],[1_h]]&amp;"[N_ID]"),0))</f>
        <v>97</v>
      </c>
      <c r="B21" s="2" t="s">
        <v>89</v>
      </c>
      <c r="C21" s="6">
        <f ca="1">_xlfn.IFNA(INDEX([6]!PAJAK[ID],MATCH(Table1[[#This Row],[N_ID]],[6]!PAJAK[ID_P],0)),"")</f>
        <v>125</v>
      </c>
      <c r="D21" s="6">
        <f ca="1">IF(Table1[[#This Row],[ID]]="","",INDEX([6]!PAJAK[QB],MATCH(Table1[[#This Row],[ID]],[6]!PAJAK[ID],0)))</f>
        <v>2</v>
      </c>
      <c r="E21" s="3">
        <f ca="1">INDEX([6]!PAJAK[TGL.MASUK],MATCH(Table1[[#This Row],[ID]],[6]!PAJAK[ID],0))</f>
        <v>44762</v>
      </c>
      <c r="F21" s="3">
        <f ca="1">INDEX([6]!PAJAK[TGL.NOTA],MATCH(Table1[[#This Row],[ID]],[6]!PAJAK[ID],0))</f>
        <v>44756</v>
      </c>
      <c r="G21" s="6" t="str">
        <f ca="1">INDEX([6]!PAJAK[NO.NOTA],MATCH(Table1[[#This Row],[ID]],[6]!PAJAK[ID],0))</f>
        <v>SA220710026</v>
      </c>
      <c r="I21" s="4" t="str">
        <f ca="1">INDEX([6]!PAJAK[SUPPLIER],MATCH(Table1[[#This Row],[ID]],[6]!PAJAK[ID],0))</f>
        <v>PT ATALI MAKMUR</v>
      </c>
      <c r="J21" s="5">
        <f ca="1">IFERROR(INDEX(INDIRECT("NOTA_.xlsx!"&amp;Table1[[#This Row],[1_h]]&amp;"[sub total]"),MATCH(Table1[[#This Row],[ID]],INDIRECT("NOTA_.xlsx!"&amp;Table1[[#This Row],[1_h]]&amp;"[ID]"),0)),"")</f>
        <v>14531580</v>
      </c>
      <c r="K21" s="5">
        <f ca="1">IFERROR(INDEX(INDIRECT("NOTA_.xlsx!"&amp;Table1[[#This Row],[1_h]]&amp;"[diskon]"),MATCH(Table1[[#This Row],[ID]],INDIRECT("NOTA_.xlsx!"&amp;Table1[[#This Row],[1_h]]&amp;"[ID]"),0)),"")</f>
        <v>646380</v>
      </c>
      <c r="L21" s="5">
        <f ca="1">IFERROR(INDEX(INDIRECT("NOTA_.xlsx!"&amp;Table1[[#This Row],[1_h]]&amp;"[Dpp]"),MATCH(Table1[[#This Row],[ID]],INDIRECT("NOTA_.xlsx!"&amp;Table1[[#This Row],[1_h]]&amp;"[ID]"),0)),"")</f>
        <v>12509189.189189188</v>
      </c>
      <c r="M21" s="5">
        <f ca="1">IFERROR(INDEX(INDIRECT("NOTA_.xlsx!"&amp;Table1[[#This Row],[1_h]]&amp;"[ppn (11%)]"),MATCH(Table1[[#This Row],[ID]],INDIRECT("NOTA_.xlsx!"&amp;Table1[[#This Row],[1_h]]&amp;"[ID]"),0)),"")</f>
        <v>1376010.8108108107</v>
      </c>
      <c r="N21" s="5">
        <f ca="1">IFERROR(INDEX(INDIRECT("NOTA_.xlsx!"&amp;Table1[[#This Row],[1_h]]&amp;"[total]"),MATCH(Table1[[#This Row],[ID]],INDIRECT("NOTA_.xlsx!"&amp;Table1[[#This Row],[1_h]]&amp;"[ID]"),0)),"")</f>
        <v>13885199.999999998</v>
      </c>
      <c r="O21" s="59" t="str">
        <f ca="1">IF(Table1[[#This Row],[NAMA SUPPLIER]]="","",INDEX(conv1[2],MATCH(Table1[[#This Row],[NAMA SUPPLIER]],conv1[1],0)))</f>
        <v>ATALI</v>
      </c>
      <c r="P21" s="4">
        <f ca="1">IF(Table1[[#This Row],[NO. INVOICE]]="","",_xlfn.IFNA(MATCH(Table1[[#This Row],[NO. INVOICE]],'[3]REKAP PEMBELIAN'!$C:$C,0),MATCH(VALUE(Table1[[#This Row],[NO. INVOICE]]),'[3]REKAP PEMBELIAN'!$C:$C,0)))</f>
        <v>390</v>
      </c>
    </row>
    <row r="22" spans="1:16" s="56" customFormat="1" x14ac:dyDescent="0.25">
      <c r="A22" s="53">
        <f ca="1">IF(Table1[[#This Row],[NAMA SUPPLIER]]="","",MATCH(Table1[[#This Row],[N_ID]],INDIRECT(Table1[[#This Row],[1_h]]&amp;"[N_ID]"),0))</f>
        <v>100</v>
      </c>
      <c r="B22" s="54" t="s">
        <v>105</v>
      </c>
      <c r="C22" s="53">
        <f ca="1">_xlfn.IFNA(INDEX([6]!PAJAK[ID],MATCH(Table1[[#This Row],[N_ID]],[6]!PAJAK[ID_P],0)),"")</f>
        <v>153</v>
      </c>
      <c r="D22" s="53">
        <f ca="1">IF(Table1[[#This Row],[ID]]="","",INDEX([6]!PAJAK[QB],MATCH(Table1[[#This Row],[ID]],[6]!PAJAK[ID],0)))</f>
        <v>4</v>
      </c>
      <c r="E22" s="55">
        <f ca="1">INDEX([6]!PAJAK[TGL.MASUK],MATCH(Table1[[#This Row],[ID]],[6]!PAJAK[ID],0))</f>
        <v>44768</v>
      </c>
      <c r="F22" s="55">
        <f ca="1">INDEX([6]!PAJAK[TGL.NOTA],MATCH(Table1[[#This Row],[ID]],[6]!PAJAK[ID],0))</f>
        <v>44761</v>
      </c>
      <c r="G22" s="53" t="str">
        <f ca="1">INDEX([6]!PAJAK[NO.NOTA],MATCH(Table1[[#This Row],[ID]],[6]!PAJAK[ID],0))</f>
        <v>SA220710405</v>
      </c>
      <c r="I22" s="57" t="str">
        <f ca="1">INDEX([6]!PAJAK[SUPPLIER],MATCH(Table1[[#This Row],[ID]],[6]!PAJAK[ID],0))</f>
        <v>PT ATALI MAKMUR</v>
      </c>
      <c r="J22" s="58">
        <f ca="1">IFERROR(INDEX(INDIRECT("NOTA_.xlsx!"&amp;Table1[[#This Row],[1_h]]&amp;"[sub total]"),MATCH(Table1[[#This Row],[ID]],INDIRECT("NOTA_.xlsx!"&amp;Table1[[#This Row],[1_h]]&amp;"[ID]"),0)),"")</f>
        <v>5745600</v>
      </c>
      <c r="K22" s="58">
        <f ca="1">IFERROR(INDEX(INDIRECT("NOTA_.xlsx!"&amp;Table1[[#This Row],[1_h]]&amp;"[diskon]"),MATCH(Table1[[#This Row],[ID]],INDIRECT("NOTA_.xlsx!"&amp;Table1[[#This Row],[1_h]]&amp;"[ID]"),0)),"")</f>
        <v>0</v>
      </c>
      <c r="L22" s="58">
        <f ca="1">IFERROR(INDEX(INDIRECT("NOTA_.xlsx!"&amp;Table1[[#This Row],[1_h]]&amp;"[Dpp]"),MATCH(Table1[[#This Row],[ID]],INDIRECT("NOTA_.xlsx!"&amp;Table1[[#This Row],[1_h]]&amp;"[ID]"),0)),"")</f>
        <v>5176216.2162162159</v>
      </c>
      <c r="M22" s="58">
        <f ca="1">IFERROR(INDEX(INDIRECT("NOTA_.xlsx!"&amp;Table1[[#This Row],[1_h]]&amp;"[ppn (11%)]"),MATCH(Table1[[#This Row],[ID]],INDIRECT("NOTA_.xlsx!"&amp;Table1[[#This Row],[1_h]]&amp;"[ID]"),0)),"")</f>
        <v>569383.78378378379</v>
      </c>
      <c r="N22" s="58">
        <f ca="1">IFERROR(INDEX(INDIRECT("NOTA_.xlsx!"&amp;Table1[[#This Row],[1_h]]&amp;"[total]"),MATCH(Table1[[#This Row],[ID]],INDIRECT("NOTA_.xlsx!"&amp;Table1[[#This Row],[1_h]]&amp;"[ID]"),0)),"")</f>
        <v>5745600</v>
      </c>
      <c r="O22" s="60" t="str">
        <f ca="1">IF(Table1[[#This Row],[NAMA SUPPLIER]]="","",INDEX(conv1[2],MATCH(Table1[[#This Row],[NAMA SUPPLIER]],conv1[1],0)))</f>
        <v>ATALI</v>
      </c>
      <c r="P22" s="57">
        <f ca="1">IF(Table1[[#This Row],[NO. INVOICE]]="","",_xlfn.IFNA(MATCH(Table1[[#This Row],[NO. INVOICE]],'[3]REKAP PEMBELIAN'!$C:$C,0),MATCH(VALUE(Table1[[#This Row],[NO. INVOICE]]),'[3]REKAP PEMBELIAN'!$C:$C,0)))</f>
        <v>391</v>
      </c>
    </row>
    <row r="23" spans="1:16" s="56" customFormat="1" x14ac:dyDescent="0.25">
      <c r="A23" s="53">
        <f ca="1">IF(Table1[[#This Row],[NAMA SUPPLIER]]="","",MATCH(Table1[[#This Row],[N_ID]],INDIRECT(Table1[[#This Row],[1_h]]&amp;"[N_ID]"),0))</f>
        <v>105</v>
      </c>
      <c r="B23" s="54" t="s">
        <v>106</v>
      </c>
      <c r="C23" s="53">
        <f ca="1">_xlfn.IFNA(INDEX([6]!PAJAK[ID],MATCH(Table1[[#This Row],[N_ID]],[6]!PAJAK[ID_P],0)),"")</f>
        <v>150</v>
      </c>
      <c r="D23" s="53">
        <f ca="1">IF(Table1[[#This Row],[ID]]="","",INDEX([6]!PAJAK[QB],MATCH(Table1[[#This Row],[ID]],[6]!PAJAK[ID],0)))</f>
        <v>11</v>
      </c>
      <c r="E23" s="55">
        <f ca="1">INDEX([6]!PAJAK[TGL.MASUK],MATCH(Table1[[#This Row],[ID]],[6]!PAJAK[ID],0))</f>
        <v>44768</v>
      </c>
      <c r="F23" s="55">
        <f ca="1">INDEX([6]!PAJAK[TGL.NOTA],MATCH(Table1[[#This Row],[ID]],[6]!PAJAK[ID],0))</f>
        <v>44762</v>
      </c>
      <c r="G23" s="53" t="str">
        <f ca="1">INDEX([6]!PAJAK[NO.NOTA],MATCH(Table1[[#This Row],[ID]],[6]!PAJAK[ID],0))</f>
        <v>SA220710451</v>
      </c>
      <c r="I23" s="57" t="str">
        <f ca="1">INDEX([6]!PAJAK[SUPPLIER],MATCH(Table1[[#This Row],[ID]],[6]!PAJAK[ID],0))</f>
        <v>PT ATALI MAKMUR</v>
      </c>
      <c r="J23" s="58">
        <f ca="1">IFERROR(INDEX(INDIRECT("NOTA_.xlsx!"&amp;Table1[[#This Row],[1_h]]&amp;"[sub total]"),MATCH(Table1[[#This Row],[ID]],INDIRECT("NOTA_.xlsx!"&amp;Table1[[#This Row],[1_h]]&amp;"[ID]"),0)),"")</f>
        <v>20117580</v>
      </c>
      <c r="K23" s="58">
        <f ca="1">IFERROR(INDEX(INDIRECT("NOTA_.xlsx!"&amp;Table1[[#This Row],[1_h]]&amp;"[diskon]"),MATCH(Table1[[#This Row],[ID]],INDIRECT("NOTA_.xlsx!"&amp;Table1[[#This Row],[1_h]]&amp;"[ID]"),0)),"")</f>
        <v>0</v>
      </c>
      <c r="L23" s="58">
        <f ca="1">IFERROR(INDEX(INDIRECT("NOTA_.xlsx!"&amp;Table1[[#This Row],[1_h]]&amp;"[Dpp]"),MATCH(Table1[[#This Row],[ID]],INDIRECT("NOTA_.xlsx!"&amp;Table1[[#This Row],[1_h]]&amp;"[ID]"),0)),"")</f>
        <v>18123945.945945945</v>
      </c>
      <c r="M23" s="58">
        <f ca="1">IFERROR(INDEX(INDIRECT("NOTA_.xlsx!"&amp;Table1[[#This Row],[1_h]]&amp;"[ppn (11%)]"),MATCH(Table1[[#This Row],[ID]],INDIRECT("NOTA_.xlsx!"&amp;Table1[[#This Row],[1_h]]&amp;"[ID]"),0)),"")</f>
        <v>1993634.054054054</v>
      </c>
      <c r="N23" s="58">
        <f ca="1">IFERROR(INDEX(INDIRECT("NOTA_.xlsx!"&amp;Table1[[#This Row],[1_h]]&amp;"[total]"),MATCH(Table1[[#This Row],[ID]],INDIRECT("NOTA_.xlsx!"&amp;Table1[[#This Row],[1_h]]&amp;"[ID]"),0)),"")</f>
        <v>20117580</v>
      </c>
      <c r="O23" s="60" t="str">
        <f ca="1">IF(Table1[[#This Row],[NAMA SUPPLIER]]="","",INDEX(conv1[2],MATCH(Table1[[#This Row],[NAMA SUPPLIER]],conv1[1],0)))</f>
        <v>ATALI</v>
      </c>
      <c r="P23" s="57">
        <f ca="1">IF(Table1[[#This Row],[NO. INVOICE]]="","",_xlfn.IFNA(MATCH(Table1[[#This Row],[NO. INVOICE]],'[3]REKAP PEMBELIAN'!$C:$C,0),MATCH(VALUE(Table1[[#This Row],[NO. INVOICE]]),'[3]REKAP PEMBELIAN'!$C:$C,0)))</f>
        <v>392</v>
      </c>
    </row>
    <row r="24" spans="1:16" s="56" customFormat="1" x14ac:dyDescent="0.25">
      <c r="A24" s="53">
        <f ca="1">IF(Table1[[#This Row],[NAMA SUPPLIER]]="","",MATCH(Table1[[#This Row],[N_ID]],INDIRECT(Table1[[#This Row],[1_h]]&amp;"[N_ID]"),0))</f>
        <v>117</v>
      </c>
      <c r="B24" s="54" t="s">
        <v>107</v>
      </c>
      <c r="C24" s="53">
        <f ca="1">_xlfn.IFNA(INDEX([6]!PAJAK[ID],MATCH(Table1[[#This Row],[N_ID]],[6]!PAJAK[ID_P],0)),"")</f>
        <v>151</v>
      </c>
      <c r="D24" s="53">
        <f ca="1">IF(Table1[[#This Row],[ID]]="","",INDEX([6]!PAJAK[QB],MATCH(Table1[[#This Row],[ID]],[6]!PAJAK[ID],0)))</f>
        <v>7</v>
      </c>
      <c r="E24" s="55">
        <f ca="1">INDEX([6]!PAJAK[TGL.MASUK],MATCH(Table1[[#This Row],[ID]],[6]!PAJAK[ID],0))</f>
        <v>44768</v>
      </c>
      <c r="F24" s="55">
        <f ca="1">INDEX([6]!PAJAK[TGL.NOTA],MATCH(Table1[[#This Row],[ID]],[6]!PAJAK[ID],0))</f>
        <v>44762</v>
      </c>
      <c r="G24" s="53" t="str">
        <f ca="1">INDEX([6]!PAJAK[NO.NOTA],MATCH(Table1[[#This Row],[ID]],[6]!PAJAK[ID],0))</f>
        <v>SA220710503</v>
      </c>
      <c r="I24" s="57" t="str">
        <f ca="1">INDEX([6]!PAJAK[SUPPLIER],MATCH(Table1[[#This Row],[ID]],[6]!PAJAK[ID],0))</f>
        <v>PT ATALI MAKMUR</v>
      </c>
      <c r="J24" s="58">
        <f ca="1">IFERROR(INDEX(INDIRECT("NOTA_.xlsx!"&amp;Table1[[#This Row],[1_h]]&amp;"[sub total]"),MATCH(Table1[[#This Row],[ID]],INDIRECT("NOTA_.xlsx!"&amp;Table1[[#This Row],[1_h]]&amp;"[ID]"),0)),"")</f>
        <v>24658200</v>
      </c>
      <c r="K24" s="58">
        <f ca="1">IFERROR(INDEX(INDIRECT("NOTA_.xlsx!"&amp;Table1[[#This Row],[1_h]]&amp;"[diskon]"),MATCH(Table1[[#This Row],[ID]],INDIRECT("NOTA_.xlsx!"&amp;Table1[[#This Row],[1_h]]&amp;"[ID]"),0)),"")</f>
        <v>879795</v>
      </c>
      <c r="L24" s="58">
        <f ca="1">IFERROR(INDEX(INDIRECT("NOTA_.xlsx!"&amp;Table1[[#This Row],[1_h]]&amp;"[Dpp]"),MATCH(Table1[[#This Row],[ID]],INDIRECT("NOTA_.xlsx!"&amp;Table1[[#This Row],[1_h]]&amp;"[ID]"),0)),"")</f>
        <v>21421986.486486483</v>
      </c>
      <c r="M24" s="58">
        <f ca="1">IFERROR(INDEX(INDIRECT("NOTA_.xlsx!"&amp;Table1[[#This Row],[1_h]]&amp;"[ppn (11%)]"),MATCH(Table1[[#This Row],[ID]],INDIRECT("NOTA_.xlsx!"&amp;Table1[[#This Row],[1_h]]&amp;"[ID]"),0)),"")</f>
        <v>2356418.5135135134</v>
      </c>
      <c r="N24" s="58">
        <f ca="1">IFERROR(INDEX(INDIRECT("NOTA_.xlsx!"&amp;Table1[[#This Row],[1_h]]&amp;"[total]"),MATCH(Table1[[#This Row],[ID]],INDIRECT("NOTA_.xlsx!"&amp;Table1[[#This Row],[1_h]]&amp;"[ID]"),0)),"")</f>
        <v>23778404.999999996</v>
      </c>
      <c r="O24" s="60" t="str">
        <f ca="1">IF(Table1[[#This Row],[NAMA SUPPLIER]]="","",INDEX(conv1[2],MATCH(Table1[[#This Row],[NAMA SUPPLIER]],conv1[1],0)))</f>
        <v>ATALI</v>
      </c>
      <c r="P24" s="57">
        <f ca="1">IF(Table1[[#This Row],[NO. INVOICE]]="","",_xlfn.IFNA(MATCH(Table1[[#This Row],[NO. INVOICE]],'[3]REKAP PEMBELIAN'!$C:$C,0),MATCH(VALUE(Table1[[#This Row],[NO. INVOICE]]),'[3]REKAP PEMBELIAN'!$C:$C,0)))</f>
        <v>393</v>
      </c>
    </row>
    <row r="25" spans="1:16" s="56" customFormat="1" x14ac:dyDescent="0.25">
      <c r="A25" s="53">
        <f ca="1">IF(Table1[[#This Row],[NAMA SUPPLIER]]="","",MATCH(Table1[[#This Row],[N_ID]],INDIRECT(Table1[[#This Row],[1_h]]&amp;"[N_ID]"),0))</f>
        <v>125</v>
      </c>
      <c r="B25" s="54" t="s">
        <v>108</v>
      </c>
      <c r="C25" s="53">
        <f ca="1">_xlfn.IFNA(INDEX([6]!PAJAK[ID],MATCH(Table1[[#This Row],[N_ID]],[6]!PAJAK[ID_P],0)),"")</f>
        <v>152</v>
      </c>
      <c r="D25" s="53">
        <f ca="1">IF(Table1[[#This Row],[ID]]="","",INDEX([6]!PAJAK[QB],MATCH(Table1[[#This Row],[ID]],[6]!PAJAK[ID],0)))</f>
        <v>6</v>
      </c>
      <c r="E25" s="55">
        <f ca="1">INDEX([6]!PAJAK[TGL.MASUK],MATCH(Table1[[#This Row],[ID]],[6]!PAJAK[ID],0))</f>
        <v>44768</v>
      </c>
      <c r="F25" s="55">
        <f ca="1">INDEX([6]!PAJAK[TGL.NOTA],MATCH(Table1[[#This Row],[ID]],[6]!PAJAK[ID],0))</f>
        <v>44762</v>
      </c>
      <c r="G25" s="53" t="str">
        <f ca="1">INDEX([6]!PAJAK[NO.NOTA],MATCH(Table1[[#This Row],[ID]],[6]!PAJAK[ID],0))</f>
        <v>SA220710512</v>
      </c>
      <c r="I25" s="57" t="str">
        <f ca="1">INDEX([6]!PAJAK[SUPPLIER],MATCH(Table1[[#This Row],[ID]],[6]!PAJAK[ID],0))</f>
        <v>PT ATALI MAKMUR</v>
      </c>
      <c r="J25" s="58">
        <f ca="1">IFERROR(INDEX(INDIRECT("NOTA_.xlsx!"&amp;Table1[[#This Row],[1_h]]&amp;"[sub total]"),MATCH(Table1[[#This Row],[ID]],INDIRECT("NOTA_.xlsx!"&amp;Table1[[#This Row],[1_h]]&amp;"[ID]"),0)),"")</f>
        <v>59245515</v>
      </c>
      <c r="K25" s="58">
        <f ca="1">IFERROR(INDEX(INDIRECT("NOTA_.xlsx!"&amp;Table1[[#This Row],[1_h]]&amp;"[diskon]"),MATCH(Table1[[#This Row],[ID]],INDIRECT("NOTA_.xlsx!"&amp;Table1[[#This Row],[1_h]]&amp;"[ID]"),0)),"")</f>
        <v>377055</v>
      </c>
      <c r="L25" s="58">
        <f ca="1">IFERROR(INDEX(INDIRECT("NOTA_.xlsx!"&amp;Table1[[#This Row],[1_h]]&amp;"[Dpp]"),MATCH(Table1[[#This Row],[ID]],INDIRECT("NOTA_.xlsx!"&amp;Table1[[#This Row],[1_h]]&amp;"[ID]"),0)),"")</f>
        <v>53034648.648648642</v>
      </c>
      <c r="M25" s="58">
        <f ca="1">IFERROR(INDEX(INDIRECT("NOTA_.xlsx!"&amp;Table1[[#This Row],[1_h]]&amp;"[ppn (11%)]"),MATCH(Table1[[#This Row],[ID]],INDIRECT("NOTA_.xlsx!"&amp;Table1[[#This Row],[1_h]]&amp;"[ID]"),0)),"")</f>
        <v>5833811.3513513505</v>
      </c>
      <c r="N25" s="58">
        <f ca="1">IFERROR(INDEX(INDIRECT("NOTA_.xlsx!"&amp;Table1[[#This Row],[1_h]]&amp;"[total]"),MATCH(Table1[[#This Row],[ID]],INDIRECT("NOTA_.xlsx!"&amp;Table1[[#This Row],[1_h]]&amp;"[ID]"),0)),"")</f>
        <v>58868459.999999993</v>
      </c>
      <c r="O25" s="60" t="str">
        <f ca="1">IF(Table1[[#This Row],[NAMA SUPPLIER]]="","",INDEX(conv1[2],MATCH(Table1[[#This Row],[NAMA SUPPLIER]],conv1[1],0)))</f>
        <v>ATALI</v>
      </c>
      <c r="P25" s="57">
        <f ca="1">IF(Table1[[#This Row],[NO. INVOICE]]="","",_xlfn.IFNA(MATCH(Table1[[#This Row],[NO. INVOICE]],'[3]REKAP PEMBELIAN'!$C:$C,0),MATCH(VALUE(Table1[[#This Row],[NO. INVOICE]]),'[3]REKAP PEMBELIAN'!$C:$C,0)))</f>
        <v>394</v>
      </c>
    </row>
    <row r="26" spans="1:16" s="56" customFormat="1" x14ac:dyDescent="0.25">
      <c r="A26" s="53">
        <f ca="1">IF(Table1[[#This Row],[NAMA SUPPLIER]]="","",MATCH(Table1[[#This Row],[N_ID]],INDIRECT(Table1[[#This Row],[1_h]]&amp;"[N_ID]"),0))</f>
        <v>132</v>
      </c>
      <c r="B26" s="54" t="s">
        <v>112</v>
      </c>
      <c r="C26" s="53">
        <f ca="1">_xlfn.IFNA(INDEX([6]!PAJAK[ID],MATCH(Table1[[#This Row],[N_ID]],[6]!PAJAK[ID_P],0)),"")</f>
        <v>160</v>
      </c>
      <c r="D26" s="53">
        <f ca="1">IF(Table1[[#This Row],[ID]]="","",INDEX([6]!PAJAK[QB],MATCH(Table1[[#This Row],[ID]],[6]!PAJAK[ID],0)))</f>
        <v>11</v>
      </c>
      <c r="E26" s="55">
        <f ca="1">INDEX([6]!PAJAK[TGL.MASUK],MATCH(Table1[[#This Row],[ID]],[6]!PAJAK[ID],0))</f>
        <v>44769</v>
      </c>
      <c r="F26" s="55">
        <f ca="1">INDEX([6]!PAJAK[TGL.NOTA],MATCH(Table1[[#This Row],[ID]],[6]!PAJAK[ID],0))</f>
        <v>44763</v>
      </c>
      <c r="G26" s="53" t="str">
        <f ca="1">INDEX([6]!PAJAK[NO.NOTA],MATCH(Table1[[#This Row],[ID]],[6]!PAJAK[ID],0))</f>
        <v>SA220710558</v>
      </c>
      <c r="I26" s="57" t="str">
        <f ca="1">INDEX([6]!PAJAK[SUPPLIER],MATCH(Table1[[#This Row],[ID]],[6]!PAJAK[ID],0))</f>
        <v>PT ATALI MAKMUR</v>
      </c>
      <c r="J26" s="58">
        <f ca="1">IFERROR(INDEX(INDIRECT("NOTA_.xlsx!"&amp;Table1[[#This Row],[1_h]]&amp;"[sub total]"),MATCH(Table1[[#This Row],[ID]],INDIRECT("NOTA_.xlsx!"&amp;Table1[[#This Row],[1_h]]&amp;"[ID]"),0)),"")</f>
        <v>46455570</v>
      </c>
      <c r="K26" s="58">
        <f ca="1">IFERROR(INDEX(INDIRECT("NOTA_.xlsx!"&amp;Table1[[#This Row],[1_h]]&amp;"[diskon]"),MATCH(Table1[[#This Row],[ID]],INDIRECT("NOTA_.xlsx!"&amp;Table1[[#This Row],[1_h]]&amp;"[ID]"),0)),"")</f>
        <v>0</v>
      </c>
      <c r="L26" s="58">
        <f ca="1">IFERROR(INDEX(INDIRECT("NOTA_.xlsx!"&amp;Table1[[#This Row],[1_h]]&amp;"[Dpp]"),MATCH(Table1[[#This Row],[ID]],INDIRECT("NOTA_.xlsx!"&amp;Table1[[#This Row],[1_h]]&amp;"[ID]"),0)),"")</f>
        <v>41851864.864864863</v>
      </c>
      <c r="M26" s="58">
        <f ca="1">IFERROR(INDEX(INDIRECT("NOTA_.xlsx!"&amp;Table1[[#This Row],[1_h]]&amp;"[ppn (11%)]"),MATCH(Table1[[#This Row],[ID]],INDIRECT("NOTA_.xlsx!"&amp;Table1[[#This Row],[1_h]]&amp;"[ID]"),0)),"")</f>
        <v>4603705.1351351347</v>
      </c>
      <c r="N26" s="58">
        <f ca="1">IFERROR(INDEX(INDIRECT("NOTA_.xlsx!"&amp;Table1[[#This Row],[1_h]]&amp;"[total]"),MATCH(Table1[[#This Row],[ID]],INDIRECT("NOTA_.xlsx!"&amp;Table1[[#This Row],[1_h]]&amp;"[ID]"),0)),"")</f>
        <v>46455570</v>
      </c>
      <c r="O26" s="60" t="str">
        <f ca="1">IF(Table1[[#This Row],[NAMA SUPPLIER]]="","",INDEX(conv1[2],MATCH(Table1[[#This Row],[NAMA SUPPLIER]],conv1[1],0)))</f>
        <v>ATALI</v>
      </c>
      <c r="P26" s="57">
        <f ca="1">IF(Table1[[#This Row],[NO. INVOICE]]="","",_xlfn.IFNA(MATCH(Table1[[#This Row],[NO. INVOICE]],'[3]REKAP PEMBELIAN'!$C:$C,0),MATCH(VALUE(Table1[[#This Row],[NO. INVOICE]]),'[3]REKAP PEMBELIAN'!$C:$C,0)))</f>
        <v>395</v>
      </c>
    </row>
    <row r="27" spans="1:16" s="56" customFormat="1" x14ac:dyDescent="0.25">
      <c r="A27" s="53">
        <f ca="1">IF(Table1[[#This Row],[NAMA SUPPLIER]]="","",MATCH(Table1[[#This Row],[N_ID]],INDIRECT(Table1[[#This Row],[1_h]]&amp;"[N_ID]"),0))</f>
        <v>144</v>
      </c>
      <c r="B27" s="54" t="s">
        <v>111</v>
      </c>
      <c r="C27" s="53">
        <f ca="1">_xlfn.IFNA(INDEX([6]!PAJAK[ID],MATCH(Table1[[#This Row],[N_ID]],[6]!PAJAK[ID_P],0)),"")</f>
        <v>158</v>
      </c>
      <c r="D27" s="53">
        <f ca="1">IF(Table1[[#This Row],[ID]]="","",INDEX([6]!PAJAK[QB],MATCH(Table1[[#This Row],[ID]],[6]!PAJAK[ID],0)))</f>
        <v>11</v>
      </c>
      <c r="E27" s="55">
        <f ca="1">INDEX([6]!PAJAK[TGL.MASUK],MATCH(Table1[[#This Row],[ID]],[6]!PAJAK[ID],0))</f>
        <v>44769</v>
      </c>
      <c r="F27" s="55">
        <f ca="1">INDEX([6]!PAJAK[TGL.NOTA],MATCH(Table1[[#This Row],[ID]],[6]!PAJAK[ID],0))</f>
        <v>44763</v>
      </c>
      <c r="G27" s="53" t="str">
        <f ca="1">INDEX([6]!PAJAK[NO.NOTA],MATCH(Table1[[#This Row],[ID]],[6]!PAJAK[ID],0))</f>
        <v>SA220710559</v>
      </c>
      <c r="I27" s="57" t="str">
        <f ca="1">INDEX([6]!PAJAK[SUPPLIER],MATCH(Table1[[#This Row],[ID]],[6]!PAJAK[ID],0))</f>
        <v>PT ATALI MAKMUR</v>
      </c>
      <c r="J27" s="58">
        <f ca="1">IFERROR(INDEX(INDIRECT("NOTA_.xlsx!"&amp;Table1[[#This Row],[1_h]]&amp;"[sub total]"),MATCH(Table1[[#This Row],[ID]],INDIRECT("NOTA_.xlsx!"&amp;Table1[[#This Row],[1_h]]&amp;"[ID]"),0)),"")</f>
        <v>16869720</v>
      </c>
      <c r="K27" s="58">
        <f ca="1">IFERROR(INDEX(INDIRECT("NOTA_.xlsx!"&amp;Table1[[#This Row],[1_h]]&amp;"[diskon]"),MATCH(Table1[[#This Row],[ID]],INDIRECT("NOTA_.xlsx!"&amp;Table1[[#This Row],[1_h]]&amp;"[ID]"),0)),"")</f>
        <v>0</v>
      </c>
      <c r="L27" s="58">
        <f ca="1">IFERROR(INDEX(INDIRECT("NOTA_.xlsx!"&amp;Table1[[#This Row],[1_h]]&amp;"[Dpp]"),MATCH(Table1[[#This Row],[ID]],INDIRECT("NOTA_.xlsx!"&amp;Table1[[#This Row],[1_h]]&amp;"[ID]"),0)),"")</f>
        <v>15197945.945945945</v>
      </c>
      <c r="M27" s="58">
        <f ca="1">IFERROR(INDEX(INDIRECT("NOTA_.xlsx!"&amp;Table1[[#This Row],[1_h]]&amp;"[ppn (11%)]"),MATCH(Table1[[#This Row],[ID]],INDIRECT("NOTA_.xlsx!"&amp;Table1[[#This Row],[1_h]]&amp;"[ID]"),0)),"")</f>
        <v>1671774.054054054</v>
      </c>
      <c r="N27" s="58">
        <f ca="1">IFERROR(INDEX(INDIRECT("NOTA_.xlsx!"&amp;Table1[[#This Row],[1_h]]&amp;"[total]"),MATCH(Table1[[#This Row],[ID]],INDIRECT("NOTA_.xlsx!"&amp;Table1[[#This Row],[1_h]]&amp;"[ID]"),0)),"")</f>
        <v>16869720</v>
      </c>
      <c r="O27" s="60" t="str">
        <f ca="1">IF(Table1[[#This Row],[NAMA SUPPLIER]]="","",INDEX(conv1[2],MATCH(Table1[[#This Row],[NAMA SUPPLIER]],conv1[1],0)))</f>
        <v>ATALI</v>
      </c>
      <c r="P27" s="57">
        <f ca="1">IF(Table1[[#This Row],[NO. INVOICE]]="","",_xlfn.IFNA(MATCH(Table1[[#This Row],[NO. INVOICE]],'[3]REKAP PEMBELIAN'!$C:$C,0),MATCH(VALUE(Table1[[#This Row],[NO. INVOICE]]),'[3]REKAP PEMBELIAN'!$C:$C,0)))</f>
        <v>396</v>
      </c>
    </row>
    <row r="28" spans="1:16" s="56" customFormat="1" x14ac:dyDescent="0.25">
      <c r="A28" s="53">
        <f ca="1">IF(Table1[[#This Row],[NAMA SUPPLIER]]="","",MATCH(Table1[[#This Row],[N_ID]],INDIRECT(Table1[[#This Row],[1_h]]&amp;"[N_ID]"),0))</f>
        <v>156</v>
      </c>
      <c r="B28" s="54" t="s">
        <v>113</v>
      </c>
      <c r="C28" s="53">
        <f ca="1">_xlfn.IFNA(INDEX([6]!PAJAK[ID],MATCH(Table1[[#This Row],[N_ID]],[6]!PAJAK[ID_P],0)),"")</f>
        <v>159</v>
      </c>
      <c r="D28" s="53">
        <f ca="1">IF(Table1[[#This Row],[ID]]="","",INDEX([6]!PAJAK[QB],MATCH(Table1[[#This Row],[ID]],[6]!PAJAK[ID],0)))</f>
        <v>11</v>
      </c>
      <c r="E28" s="55">
        <f ca="1">INDEX([6]!PAJAK[TGL.MASUK],MATCH(Table1[[#This Row],[ID]],[6]!PAJAK[ID],0))</f>
        <v>44769</v>
      </c>
      <c r="F28" s="55">
        <f ca="1">INDEX([6]!PAJAK[TGL.NOTA],MATCH(Table1[[#This Row],[ID]],[6]!PAJAK[ID],0))</f>
        <v>44763</v>
      </c>
      <c r="G28" s="53" t="str">
        <f ca="1">INDEX([6]!PAJAK[NO.NOTA],MATCH(Table1[[#This Row],[ID]],[6]!PAJAK[ID],0))</f>
        <v>SA220710560</v>
      </c>
      <c r="I28" s="57" t="str">
        <f ca="1">INDEX([6]!PAJAK[SUPPLIER],MATCH(Table1[[#This Row],[ID]],[6]!PAJAK[ID],0))</f>
        <v>PT ATALI MAKMUR</v>
      </c>
      <c r="J28" s="58">
        <f ca="1">IFERROR(INDEX(INDIRECT("NOTA_.xlsx!"&amp;Table1[[#This Row],[1_h]]&amp;"[sub total]"),MATCH(Table1[[#This Row],[ID]],INDIRECT("NOTA_.xlsx!"&amp;Table1[[#This Row],[1_h]]&amp;"[ID]"),0)),"")</f>
        <v>12212991</v>
      </c>
      <c r="K28" s="58">
        <f ca="1">IFERROR(INDEX(INDIRECT("NOTA_.xlsx!"&amp;Table1[[#This Row],[1_h]]&amp;"[diskon]"),MATCH(Table1[[#This Row],[ID]],INDIRECT("NOTA_.xlsx!"&amp;Table1[[#This Row],[1_h]]&amp;"[ID]"),0)),"")</f>
        <v>129276</v>
      </c>
      <c r="L28" s="58">
        <f ca="1">IFERROR(INDEX(INDIRECT("NOTA_.xlsx!"&amp;Table1[[#This Row],[1_h]]&amp;"[Dpp]"),MATCH(Table1[[#This Row],[ID]],INDIRECT("NOTA_.xlsx!"&amp;Table1[[#This Row],[1_h]]&amp;"[ID]"),0)),"")</f>
        <v>10886229.729729729</v>
      </c>
      <c r="M28" s="58">
        <f ca="1">IFERROR(INDEX(INDIRECT("NOTA_.xlsx!"&amp;Table1[[#This Row],[1_h]]&amp;"[ppn (11%)]"),MATCH(Table1[[#This Row],[ID]],INDIRECT("NOTA_.xlsx!"&amp;Table1[[#This Row],[1_h]]&amp;"[ID]"),0)),"")</f>
        <v>1197485.2702702701</v>
      </c>
      <c r="N28" s="58">
        <f ca="1">IFERROR(INDEX(INDIRECT("NOTA_.xlsx!"&amp;Table1[[#This Row],[1_h]]&amp;"[total]"),MATCH(Table1[[#This Row],[ID]],INDIRECT("NOTA_.xlsx!"&amp;Table1[[#This Row],[1_h]]&amp;"[ID]"),0)),"")</f>
        <v>12083714.999999998</v>
      </c>
      <c r="O28" s="60" t="str">
        <f ca="1">IF(Table1[[#This Row],[NAMA SUPPLIER]]="","",INDEX(conv1[2],MATCH(Table1[[#This Row],[NAMA SUPPLIER]],conv1[1],0)))</f>
        <v>ATALI</v>
      </c>
      <c r="P28" s="57">
        <f ca="1">IF(Table1[[#This Row],[NO. INVOICE]]="","",_xlfn.IFNA(MATCH(Table1[[#This Row],[NO. INVOICE]],'[3]REKAP PEMBELIAN'!$C:$C,0),MATCH(VALUE(Table1[[#This Row],[NO. INVOICE]]),'[3]REKAP PEMBELIAN'!$C:$C,0)))</f>
        <v>397</v>
      </c>
    </row>
    <row r="29" spans="1:16" s="50" customFormat="1" x14ac:dyDescent="0.25">
      <c r="A29" s="47">
        <f ca="1">IF(Table1[[#This Row],[NAMA SUPPLIER]]="","",MATCH(Table1[[#This Row],[N_ID]],INDIRECT(Table1[[#This Row],[1_h]]&amp;"[N_ID]"),0))</f>
        <v>168</v>
      </c>
      <c r="B29" s="48" t="s">
        <v>114</v>
      </c>
      <c r="C29" s="47">
        <f ca="1">_xlfn.IFNA(INDEX([6]!PAJAK[ID],MATCH(Table1[[#This Row],[N_ID]],[6]!PAJAK[ID_P],0)),"")</f>
        <v>161</v>
      </c>
      <c r="D29" s="47">
        <f ca="1">IF(Table1[[#This Row],[ID]]="","",INDEX([6]!PAJAK[QB],MATCH(Table1[[#This Row],[ID]],[6]!PAJAK[ID],0)))</f>
        <v>3</v>
      </c>
      <c r="E29" s="49">
        <f ca="1">INDEX([6]!PAJAK[TGL.MASUK],MATCH(Table1[[#This Row],[ID]],[6]!PAJAK[ID],0))</f>
        <v>44769</v>
      </c>
      <c r="F29" s="49">
        <f ca="1">INDEX([6]!PAJAK[TGL.NOTA],MATCH(Table1[[#This Row],[ID]],[6]!PAJAK[ID],0))</f>
        <v>44763</v>
      </c>
      <c r="G29" s="47" t="str">
        <f ca="1">INDEX([6]!PAJAK[NO.NOTA],MATCH(Table1[[#This Row],[ID]],[6]!PAJAK[ID],0))</f>
        <v>SA220710574</v>
      </c>
      <c r="I29" s="51" t="str">
        <f ca="1">INDEX([6]!PAJAK[SUPPLIER],MATCH(Table1[[#This Row],[ID]],[6]!PAJAK[ID],0))</f>
        <v>PT ATALI MAKMUR</v>
      </c>
      <c r="J29" s="52">
        <f ca="1">IFERROR(INDEX(INDIRECT("NOTA_.xlsx!"&amp;Table1[[#This Row],[1_h]]&amp;"[sub total]"),MATCH(Table1[[#This Row],[ID]],INDIRECT("NOTA_.xlsx!"&amp;Table1[[#This Row],[1_h]]&amp;"[ID]"),0)),"")</f>
        <v>9252810</v>
      </c>
      <c r="K29" s="52">
        <f ca="1">IFERROR(INDEX(INDIRECT("NOTA_.xlsx!"&amp;Table1[[#This Row],[1_h]]&amp;"[diskon]"),MATCH(Table1[[#This Row],[ID]],INDIRECT("NOTA_.xlsx!"&amp;Table1[[#This Row],[1_h]]&amp;"[ID]"),0)),"")</f>
        <v>0</v>
      </c>
      <c r="L29" s="52">
        <f ca="1">IFERROR(INDEX(INDIRECT("NOTA_.xlsx!"&amp;Table1[[#This Row],[1_h]]&amp;"[Dpp]"),MATCH(Table1[[#This Row],[ID]],INDIRECT("NOTA_.xlsx!"&amp;Table1[[#This Row],[1_h]]&amp;"[ID]"),0)),"")</f>
        <v>8335864.8648648644</v>
      </c>
      <c r="M29" s="52">
        <f ca="1">IFERROR(INDEX(INDIRECT("NOTA_.xlsx!"&amp;Table1[[#This Row],[1_h]]&amp;"[ppn (11%)]"),MATCH(Table1[[#This Row],[ID]],INDIRECT("NOTA_.xlsx!"&amp;Table1[[#This Row],[1_h]]&amp;"[ID]"),0)),"")</f>
        <v>916945.13513513503</v>
      </c>
      <c r="N29" s="52">
        <f ca="1">IFERROR(INDEX(INDIRECT("NOTA_.xlsx!"&amp;Table1[[#This Row],[1_h]]&amp;"[total]"),MATCH(Table1[[#This Row],[ID]],INDIRECT("NOTA_.xlsx!"&amp;Table1[[#This Row],[1_h]]&amp;"[ID]"),0)),"")</f>
        <v>9252810</v>
      </c>
      <c r="O29" s="61" t="str">
        <f ca="1">IF(Table1[[#This Row],[NAMA SUPPLIER]]="","",INDEX(conv1[2],MATCH(Table1[[#This Row],[NAMA SUPPLIER]],conv1[1],0)))</f>
        <v>ATALI</v>
      </c>
      <c r="P29" s="51">
        <f ca="1">IF(Table1[[#This Row],[NO. INVOICE]]="","",_xlfn.IFNA(MATCH(Table1[[#This Row],[NO. INVOICE]],'[3]REKAP PEMBELIAN'!$C:$C,0),MATCH(VALUE(Table1[[#This Row],[NO. INVOICE]]),'[3]REKAP PEMBELIAN'!$C:$C,0)))</f>
        <v>398</v>
      </c>
    </row>
    <row r="30" spans="1:16" s="50" customFormat="1" x14ac:dyDescent="0.25">
      <c r="A30" s="47">
        <f ca="1">IF(Table1[[#This Row],[NAMA SUPPLIER]]="","",MATCH(Table1[[#This Row],[N_ID]],INDIRECT(Table1[[#This Row],[1_h]]&amp;"[N_ID]"),0))</f>
        <v>172</v>
      </c>
      <c r="B30" s="48" t="s">
        <v>115</v>
      </c>
      <c r="C30" s="47">
        <f ca="1">_xlfn.IFNA(INDEX([6]!PAJAK[ID],MATCH(Table1[[#This Row],[N_ID]],[6]!PAJAK[ID_P],0)),"")</f>
        <v>162</v>
      </c>
      <c r="D30" s="47">
        <f ca="1">IF(Table1[[#This Row],[ID]]="","",INDEX([6]!PAJAK[QB],MATCH(Table1[[#This Row],[ID]],[6]!PAJAK[ID],0)))</f>
        <v>1</v>
      </c>
      <c r="E30" s="49">
        <f ca="1">INDEX([6]!PAJAK[TGL.MASUK],MATCH(Table1[[#This Row],[ID]],[6]!PAJAK[ID],0))</f>
        <v>44769</v>
      </c>
      <c r="F30" s="49">
        <f ca="1">INDEX([6]!PAJAK[TGL.NOTA],MATCH(Table1[[#This Row],[ID]],[6]!PAJAK[ID],0))</f>
        <v>44764</v>
      </c>
      <c r="G30" s="47" t="str">
        <f ca="1">INDEX([6]!PAJAK[NO.NOTA],MATCH(Table1[[#This Row],[ID]],[6]!PAJAK[ID],0))</f>
        <v>SA220710756</v>
      </c>
      <c r="I30" s="51" t="str">
        <f ca="1">INDEX([6]!PAJAK[SUPPLIER],MATCH(Table1[[#This Row],[ID]],[6]!PAJAK[ID],0))</f>
        <v>PT ATALI MAKMUR</v>
      </c>
      <c r="J30" s="52">
        <f ca="1">IFERROR(INDEX(INDIRECT("NOTA_.xlsx!"&amp;Table1[[#This Row],[1_h]]&amp;"[sub total]"),MATCH(Table1[[#This Row],[ID]],INDIRECT("NOTA_.xlsx!"&amp;Table1[[#This Row],[1_h]]&amp;"[ID]"),0)),"")</f>
        <v>5745600</v>
      </c>
      <c r="K30" s="52">
        <f ca="1">IFERROR(INDEX(INDIRECT("NOTA_.xlsx!"&amp;Table1[[#This Row],[1_h]]&amp;"[diskon]"),MATCH(Table1[[#This Row],[ID]],INDIRECT("NOTA_.xlsx!"&amp;Table1[[#This Row],[1_h]]&amp;"[ID]"),0)),"")</f>
        <v>0</v>
      </c>
      <c r="L30" s="52">
        <f ca="1">IFERROR(INDEX(INDIRECT("NOTA_.xlsx!"&amp;Table1[[#This Row],[1_h]]&amp;"[Dpp]"),MATCH(Table1[[#This Row],[ID]],INDIRECT("NOTA_.xlsx!"&amp;Table1[[#This Row],[1_h]]&amp;"[ID]"),0)),"")</f>
        <v>5176216.2162162159</v>
      </c>
      <c r="M30" s="52">
        <f ca="1">IFERROR(INDEX(INDIRECT("NOTA_.xlsx!"&amp;Table1[[#This Row],[1_h]]&amp;"[ppn (11%)]"),MATCH(Table1[[#This Row],[ID]],INDIRECT("NOTA_.xlsx!"&amp;Table1[[#This Row],[1_h]]&amp;"[ID]"),0)),"")</f>
        <v>569383.78378378379</v>
      </c>
      <c r="N30" s="52">
        <f ca="1">IFERROR(INDEX(INDIRECT("NOTA_.xlsx!"&amp;Table1[[#This Row],[1_h]]&amp;"[total]"),MATCH(Table1[[#This Row],[ID]],INDIRECT("NOTA_.xlsx!"&amp;Table1[[#This Row],[1_h]]&amp;"[ID]"),0)),"")</f>
        <v>5745600</v>
      </c>
      <c r="O30" s="61" t="str">
        <f ca="1">IF(Table1[[#This Row],[NAMA SUPPLIER]]="","",INDEX(conv1[2],MATCH(Table1[[#This Row],[NAMA SUPPLIER]],conv1[1],0)))</f>
        <v>ATALI</v>
      </c>
      <c r="P30" s="51">
        <f ca="1">IF(Table1[[#This Row],[NO. INVOICE]]="","",_xlfn.IFNA(MATCH(Table1[[#This Row],[NO. INVOICE]],'[3]REKAP PEMBELIAN'!$C:$C,0),MATCH(VALUE(Table1[[#This Row],[NO. INVOICE]]),'[3]REKAP PEMBELIAN'!$C:$C,0)))</f>
        <v>399</v>
      </c>
    </row>
    <row r="31" spans="1:16" s="50" customFormat="1" x14ac:dyDescent="0.25">
      <c r="A31" s="47">
        <f ca="1">IF(Table1[[#This Row],[NAMA SUPPLIER]]="","",MATCH(Table1[[#This Row],[N_ID]],INDIRECT(Table1[[#This Row],[1_h]]&amp;"[N_ID]"),0))</f>
        <v>174</v>
      </c>
      <c r="B31" s="48" t="s">
        <v>124</v>
      </c>
      <c r="C31" s="47">
        <f ca="1">_xlfn.IFNA(INDEX([6]!PAJAK[ID],MATCH(Table1[[#This Row],[N_ID]],[6]!PAJAK[ID_P],0)),"")</f>
        <v>175</v>
      </c>
      <c r="D31" s="47">
        <f ca="1">IF(Table1[[#This Row],[ID]]="","",INDEX([6]!PAJAK[QB],MATCH(Table1[[#This Row],[ID]],[6]!PAJAK[ID],0)))</f>
        <v>11</v>
      </c>
      <c r="E31" s="49">
        <f ca="1">INDEX([6]!PAJAK[TGL.MASUK],MATCH(Table1[[#This Row],[ID]],[6]!PAJAK[ID],0))</f>
        <v>44771</v>
      </c>
      <c r="F31" s="49">
        <f ca="1">INDEX([6]!PAJAK[TGL.NOTA],MATCH(Table1[[#This Row],[ID]],[6]!PAJAK[ID],0))</f>
        <v>44765</v>
      </c>
      <c r="G31" s="47" t="str">
        <f ca="1">INDEX([6]!PAJAK[NO.NOTA],MATCH(Table1[[#This Row],[ID]],[6]!PAJAK[ID],0))</f>
        <v>SA220710797</v>
      </c>
      <c r="I31" s="51" t="str">
        <f ca="1">INDEX([6]!PAJAK[SUPPLIER],MATCH(Table1[[#This Row],[ID]],[6]!PAJAK[ID],0))</f>
        <v>PT ATALI MAKMUR</v>
      </c>
      <c r="J31" s="52">
        <f ca="1">IFERROR(INDEX(INDIRECT("NOTA_.xlsx!"&amp;Table1[[#This Row],[1_h]]&amp;"[sub total]"),MATCH(Table1[[#This Row],[ID]],INDIRECT("NOTA_.xlsx!"&amp;Table1[[#This Row],[1_h]]&amp;"[ID]"),0)),"")</f>
        <v>43888005</v>
      </c>
      <c r="K31" s="52">
        <f ca="1">IFERROR(INDEX(INDIRECT("NOTA_.xlsx!"&amp;Table1[[#This Row],[1_h]]&amp;"[diskon]"),MATCH(Table1[[#This Row],[ID]],INDIRECT("NOTA_.xlsx!"&amp;Table1[[#This Row],[1_h]]&amp;"[ID]"),0)),"")</f>
        <v>0</v>
      </c>
      <c r="L31" s="52">
        <f ca="1">IFERROR(INDEX(INDIRECT("NOTA_.xlsx!"&amp;Table1[[#This Row],[1_h]]&amp;"[Dpp]"),MATCH(Table1[[#This Row],[ID]],INDIRECT("NOTA_.xlsx!"&amp;Table1[[#This Row],[1_h]]&amp;"[ID]"),0)),"")</f>
        <v>39538743.24324324</v>
      </c>
      <c r="M31" s="52">
        <f ca="1">IFERROR(INDEX(INDIRECT("NOTA_.xlsx!"&amp;Table1[[#This Row],[1_h]]&amp;"[ppn (11%)]"),MATCH(Table1[[#This Row],[ID]],INDIRECT("NOTA_.xlsx!"&amp;Table1[[#This Row],[1_h]]&amp;"[ID]"),0)),"")</f>
        <v>4349261.7567567565</v>
      </c>
      <c r="N31" s="52">
        <f ca="1">IFERROR(INDEX(INDIRECT("NOTA_.xlsx!"&amp;Table1[[#This Row],[1_h]]&amp;"[total]"),MATCH(Table1[[#This Row],[ID]],INDIRECT("NOTA_.xlsx!"&amp;Table1[[#This Row],[1_h]]&amp;"[ID]"),0)),"")</f>
        <v>43888005</v>
      </c>
      <c r="O31" s="61" t="str">
        <f ca="1">IF(Table1[[#This Row],[NAMA SUPPLIER]]="","",INDEX(conv1[2],MATCH(Table1[[#This Row],[NAMA SUPPLIER]],conv1[1],0)))</f>
        <v>ATALI</v>
      </c>
      <c r="P31" s="51">
        <f ca="1">IF(Table1[[#This Row],[NO. INVOICE]]="","",_xlfn.IFNA(MATCH(Table1[[#This Row],[NO. INVOICE]],'[3]REKAP PEMBELIAN'!$C:$C,0),MATCH(VALUE(Table1[[#This Row],[NO. INVOICE]]),'[3]REKAP PEMBELIAN'!$C:$C,0)))</f>
        <v>400</v>
      </c>
    </row>
    <row r="32" spans="1:16" s="50" customFormat="1" x14ac:dyDescent="0.25">
      <c r="A32" s="47">
        <f ca="1">IF(Table1[[#This Row],[NAMA SUPPLIER]]="","",MATCH(Table1[[#This Row],[N_ID]],INDIRECT(Table1[[#This Row],[1_h]]&amp;"[N_ID]"),0))</f>
        <v>186</v>
      </c>
      <c r="B32" s="48" t="s">
        <v>125</v>
      </c>
      <c r="C32" s="47">
        <f ca="1">_xlfn.IFNA(INDEX([6]!PAJAK[ID],MATCH(Table1[[#This Row],[N_ID]],[6]!PAJAK[ID_P],0)),"")</f>
        <v>172</v>
      </c>
      <c r="D32" s="47">
        <f ca="1">IF(Table1[[#This Row],[ID]]="","",INDEX([6]!PAJAK[QB],MATCH(Table1[[#This Row],[ID]],[6]!PAJAK[ID],0)))</f>
        <v>7</v>
      </c>
      <c r="E32" s="49">
        <f ca="1">INDEX([6]!PAJAK[TGL.MASUK],MATCH(Table1[[#This Row],[ID]],[6]!PAJAK[ID],0))</f>
        <v>44771</v>
      </c>
      <c r="F32" s="49">
        <f ca="1">INDEX([6]!PAJAK[TGL.NOTA],MATCH(Table1[[#This Row],[ID]],[6]!PAJAK[ID],0))</f>
        <v>44765</v>
      </c>
      <c r="G32" s="47" t="str">
        <f ca="1">INDEX([6]!PAJAK[NO.NOTA],MATCH(Table1[[#This Row],[ID]],[6]!PAJAK[ID],0))</f>
        <v>SA220710798</v>
      </c>
      <c r="I32" s="51" t="str">
        <f ca="1">INDEX([6]!PAJAK[SUPPLIER],MATCH(Table1[[#This Row],[ID]],[6]!PAJAK[ID],0))</f>
        <v>PT ATALI MAKMUR</v>
      </c>
      <c r="J32" s="52">
        <f ca="1">IFERROR(INDEX(INDIRECT("NOTA_.xlsx!"&amp;Table1[[#This Row],[1_h]]&amp;"[sub total]"),MATCH(Table1[[#This Row],[ID]],INDIRECT("NOTA_.xlsx!"&amp;Table1[[#This Row],[1_h]]&amp;"[ID]"),0)),"")</f>
        <v>13414779</v>
      </c>
      <c r="K32" s="52">
        <f ca="1">IFERROR(INDEX(INDIRECT("NOTA_.xlsx!"&amp;Table1[[#This Row],[1_h]]&amp;"[diskon]"),MATCH(Table1[[#This Row],[ID]],INDIRECT("NOTA_.xlsx!"&amp;Table1[[#This Row],[1_h]]&amp;"[ID]"),0)),"")</f>
        <v>0</v>
      </c>
      <c r="L32" s="52">
        <f ca="1">IFERROR(INDEX(INDIRECT("NOTA_.xlsx!"&amp;Table1[[#This Row],[1_h]]&amp;"[Dpp]"),MATCH(Table1[[#This Row],[ID]],INDIRECT("NOTA_.xlsx!"&amp;Table1[[#This Row],[1_h]]&amp;"[ID]"),0)),"")</f>
        <v>12085386.486486485</v>
      </c>
      <c r="M32" s="52">
        <f ca="1">IFERROR(INDEX(INDIRECT("NOTA_.xlsx!"&amp;Table1[[#This Row],[1_h]]&amp;"[ppn (11%)]"),MATCH(Table1[[#This Row],[ID]],INDIRECT("NOTA_.xlsx!"&amp;Table1[[#This Row],[1_h]]&amp;"[ID]"),0)),"")</f>
        <v>1329392.5135135134</v>
      </c>
      <c r="N32" s="52">
        <f ca="1">IFERROR(INDEX(INDIRECT("NOTA_.xlsx!"&amp;Table1[[#This Row],[1_h]]&amp;"[total]"),MATCH(Table1[[#This Row],[ID]],INDIRECT("NOTA_.xlsx!"&amp;Table1[[#This Row],[1_h]]&amp;"[ID]"),0)),"")</f>
        <v>13414778.999999998</v>
      </c>
      <c r="O32" s="61" t="str">
        <f ca="1">IF(Table1[[#This Row],[NAMA SUPPLIER]]="","",INDEX(conv1[2],MATCH(Table1[[#This Row],[NAMA SUPPLIER]],conv1[1],0)))</f>
        <v>ATALI</v>
      </c>
      <c r="P32" s="51">
        <f ca="1">IF(Table1[[#This Row],[NO. INVOICE]]="","",_xlfn.IFNA(MATCH(Table1[[#This Row],[NO. INVOICE]],'[3]REKAP PEMBELIAN'!$C:$C,0),MATCH(VALUE(Table1[[#This Row],[NO. INVOICE]]),'[3]REKAP PEMBELIAN'!$C:$C,0)))</f>
        <v>401</v>
      </c>
    </row>
    <row r="33" spans="1:16" s="50" customFormat="1" x14ac:dyDescent="0.25">
      <c r="A33" s="47">
        <f ca="1">IF(Table1[[#This Row],[NAMA SUPPLIER]]="","",MATCH(Table1[[#This Row],[N_ID]],INDIRECT(Table1[[#This Row],[1_h]]&amp;"[N_ID]"),0))</f>
        <v>194</v>
      </c>
      <c r="B33" s="48" t="s">
        <v>126</v>
      </c>
      <c r="C33" s="47">
        <f ca="1">_xlfn.IFNA(INDEX([6]!PAJAK[ID],MATCH(Table1[[#This Row],[N_ID]],[6]!PAJAK[ID_P],0)),"")</f>
        <v>173</v>
      </c>
      <c r="D33" s="47">
        <f ca="1">IF(Table1[[#This Row],[ID]]="","",INDEX([6]!PAJAK[QB],MATCH(Table1[[#This Row],[ID]],[6]!PAJAK[ID],0)))</f>
        <v>4</v>
      </c>
      <c r="E33" s="49">
        <f ca="1">INDEX([6]!PAJAK[TGL.MASUK],MATCH(Table1[[#This Row],[ID]],[6]!PAJAK[ID],0))</f>
        <v>44771</v>
      </c>
      <c r="F33" s="49">
        <f ca="1">INDEX([6]!PAJAK[TGL.NOTA],MATCH(Table1[[#This Row],[ID]],[6]!PAJAK[ID],0))</f>
        <v>44765</v>
      </c>
      <c r="G33" s="47" t="str">
        <f ca="1">INDEX([6]!PAJAK[NO.NOTA],MATCH(Table1[[#This Row],[ID]],[6]!PAJAK[ID],0))</f>
        <v>SA220710799</v>
      </c>
      <c r="I33" s="51" t="str">
        <f ca="1">INDEX([6]!PAJAK[SUPPLIER],MATCH(Table1[[#This Row],[ID]],[6]!PAJAK[ID],0))</f>
        <v>PT ATALI MAKMUR</v>
      </c>
      <c r="J33" s="52">
        <f ca="1">IFERROR(INDEX(INDIRECT("NOTA_.xlsx!"&amp;Table1[[#This Row],[1_h]]&amp;"[sub total]"),MATCH(Table1[[#This Row],[ID]],INDIRECT("NOTA_.xlsx!"&amp;Table1[[#This Row],[1_h]]&amp;"[ID]"),0)),"")</f>
        <v>11326014</v>
      </c>
      <c r="K33" s="52">
        <f ca="1">IFERROR(INDEX(INDIRECT("NOTA_.xlsx!"&amp;Table1[[#This Row],[1_h]]&amp;"[diskon]"),MATCH(Table1[[#This Row],[ID]],INDIRECT("NOTA_.xlsx!"&amp;Table1[[#This Row],[1_h]]&amp;"[ID]"),0)),"")</f>
        <v>517104</v>
      </c>
      <c r="L33" s="52">
        <f ca="1">IFERROR(INDEX(INDIRECT("NOTA_.xlsx!"&amp;Table1[[#This Row],[1_h]]&amp;"[Dpp]"),MATCH(Table1[[#This Row],[ID]],INDIRECT("NOTA_.xlsx!"&amp;Table1[[#This Row],[1_h]]&amp;"[ID]"),0)),"")</f>
        <v>9737756.7567567565</v>
      </c>
      <c r="M33" s="52">
        <f ca="1">IFERROR(INDEX(INDIRECT("NOTA_.xlsx!"&amp;Table1[[#This Row],[1_h]]&amp;"[ppn (11%)]"),MATCH(Table1[[#This Row],[ID]],INDIRECT("NOTA_.xlsx!"&amp;Table1[[#This Row],[1_h]]&amp;"[ID]"),0)),"")</f>
        <v>1071153.2432432433</v>
      </c>
      <c r="N33" s="52">
        <f ca="1">IFERROR(INDEX(INDIRECT("NOTA_.xlsx!"&amp;Table1[[#This Row],[1_h]]&amp;"[total]"),MATCH(Table1[[#This Row],[ID]],INDIRECT("NOTA_.xlsx!"&amp;Table1[[#This Row],[1_h]]&amp;"[ID]"),0)),"")</f>
        <v>10808910</v>
      </c>
      <c r="O33" s="61" t="str">
        <f ca="1">IF(Table1[[#This Row],[NAMA SUPPLIER]]="","",INDEX(conv1[2],MATCH(Table1[[#This Row],[NAMA SUPPLIER]],conv1[1],0)))</f>
        <v>ATALI</v>
      </c>
      <c r="P33" s="51">
        <f ca="1">IF(Table1[[#This Row],[NO. INVOICE]]="","",_xlfn.IFNA(MATCH(Table1[[#This Row],[NO. INVOICE]],'[3]REKAP PEMBELIAN'!$C:$C,0),MATCH(VALUE(Table1[[#This Row],[NO. INVOICE]]),'[3]REKAP PEMBELIAN'!$C:$C,0)))</f>
        <v>402</v>
      </c>
    </row>
    <row r="34" spans="1:16" s="50" customFormat="1" x14ac:dyDescent="0.25">
      <c r="A34" s="47">
        <f ca="1">IF(Table1[[#This Row],[NAMA SUPPLIER]]="","",MATCH(Table1[[#This Row],[N_ID]],INDIRECT(Table1[[#This Row],[1_h]]&amp;"[N_ID]"),0))</f>
        <v>199</v>
      </c>
      <c r="B34" s="48" t="s">
        <v>121</v>
      </c>
      <c r="C34" s="47">
        <f ca="1">_xlfn.IFNA(INDEX([6]!PAJAK[ID],MATCH(Table1[[#This Row],[N_ID]],[6]!PAJAK[ID_P],0)),"")</f>
        <v>169</v>
      </c>
      <c r="D34" s="47">
        <f ca="1">IF(Table1[[#This Row],[ID]]="","",INDEX([6]!PAJAK[QB],MATCH(Table1[[#This Row],[ID]],[6]!PAJAK[ID],0)))</f>
        <v>4</v>
      </c>
      <c r="E34" s="49">
        <f ca="1">INDEX([6]!PAJAK[TGL.MASUK],MATCH(Table1[[#This Row],[ID]],[6]!PAJAK[ID],0))</f>
        <v>44771</v>
      </c>
      <c r="F34" s="49">
        <f ca="1">INDEX([6]!PAJAK[TGL.NOTA],MATCH(Table1[[#This Row],[ID]],[6]!PAJAK[ID],0))</f>
        <v>44765</v>
      </c>
      <c r="G34" s="47" t="str">
        <f ca="1">INDEX([6]!PAJAK[NO.NOTA],MATCH(Table1[[#This Row],[ID]],[6]!PAJAK[ID],0))</f>
        <v>SA220710855</v>
      </c>
      <c r="I34" s="51" t="str">
        <f ca="1">INDEX([6]!PAJAK[SUPPLIER],MATCH(Table1[[#This Row],[ID]],[6]!PAJAK[ID],0))</f>
        <v>PT ATALI MAKMUR</v>
      </c>
      <c r="J34" s="52">
        <f ca="1">IFERROR(INDEX(INDIRECT("NOTA_.xlsx!"&amp;Table1[[#This Row],[1_h]]&amp;"[sub total]"),MATCH(Table1[[#This Row],[ID]],INDIRECT("NOTA_.xlsx!"&amp;Table1[[#This Row],[1_h]]&amp;"[ID]"),0)),"")</f>
        <v>29704718.75</v>
      </c>
      <c r="K34" s="52">
        <f ca="1">IFERROR(INDEX(INDIRECT("NOTA_.xlsx!"&amp;Table1[[#This Row],[1_h]]&amp;"[diskon]"),MATCH(Table1[[#This Row],[ID]],INDIRECT("NOTA_.xlsx!"&amp;Table1[[#This Row],[1_h]]&amp;"[ID]"),0)),"")</f>
        <v>0</v>
      </c>
      <c r="L34" s="52">
        <f ca="1">IFERROR(INDEX(INDIRECT("NOTA_.xlsx!"&amp;Table1[[#This Row],[1_h]]&amp;"[Dpp]"),MATCH(Table1[[#This Row],[ID]],INDIRECT("NOTA_.xlsx!"&amp;Table1[[#This Row],[1_h]]&amp;"[ID]"),0)),"")</f>
        <v>26761007.882882882</v>
      </c>
      <c r="M34" s="52">
        <f ca="1">IFERROR(INDEX(INDIRECT("NOTA_.xlsx!"&amp;Table1[[#This Row],[1_h]]&amp;"[ppn (11%)]"),MATCH(Table1[[#This Row],[ID]],INDIRECT("NOTA_.xlsx!"&amp;Table1[[#This Row],[1_h]]&amp;"[ID]"),0)),"")</f>
        <v>2943710.8671171172</v>
      </c>
      <c r="N34" s="52">
        <f ca="1">IFERROR(INDEX(INDIRECT("NOTA_.xlsx!"&amp;Table1[[#This Row],[1_h]]&amp;"[total]"),MATCH(Table1[[#This Row],[ID]],INDIRECT("NOTA_.xlsx!"&amp;Table1[[#This Row],[1_h]]&amp;"[ID]"),0)),"")</f>
        <v>29704718.75</v>
      </c>
      <c r="O34" s="61" t="str">
        <f ca="1">IF(Table1[[#This Row],[NAMA SUPPLIER]]="","",INDEX(conv1[2],MATCH(Table1[[#This Row],[NAMA SUPPLIER]],conv1[1],0)))</f>
        <v>ATALI</v>
      </c>
      <c r="P34" s="51">
        <f ca="1">IF(Table1[[#This Row],[NO. INVOICE]]="","",_xlfn.IFNA(MATCH(Table1[[#This Row],[NO. INVOICE]],'[3]REKAP PEMBELIAN'!$C:$C,0),MATCH(VALUE(Table1[[#This Row],[NO. INVOICE]]),'[3]REKAP PEMBELIAN'!$C:$C,0)))</f>
        <v>403</v>
      </c>
    </row>
    <row r="35" spans="1:16" s="50" customFormat="1" x14ac:dyDescent="0.25">
      <c r="A35" s="47">
        <f ca="1">IF(Table1[[#This Row],[NAMA SUPPLIER]]="","",MATCH(Table1[[#This Row],[N_ID]],INDIRECT(Table1[[#This Row],[1_h]]&amp;"[N_ID]"),0))</f>
        <v>204</v>
      </c>
      <c r="B35" s="54" t="s">
        <v>122</v>
      </c>
      <c r="C35" s="47">
        <f ca="1">_xlfn.IFNA(INDEX([6]!PAJAK[ID],MATCH(Table1[[#This Row],[N_ID]],[6]!PAJAK[ID_P],0)),"")</f>
        <v>170</v>
      </c>
      <c r="D35" s="47">
        <f ca="1">IF(Table1[[#This Row],[ID]]="","",INDEX([6]!PAJAK[QB],MATCH(Table1[[#This Row],[ID]],[6]!PAJAK[ID],0)))</f>
        <v>6</v>
      </c>
      <c r="E35" s="49">
        <f ca="1">INDEX([6]!PAJAK[TGL.MASUK],MATCH(Table1[[#This Row],[ID]],[6]!PAJAK[ID],0))</f>
        <v>44771</v>
      </c>
      <c r="F35" s="49">
        <f ca="1">INDEX([6]!PAJAK[TGL.NOTA],MATCH(Table1[[#This Row],[ID]],[6]!PAJAK[ID],0))</f>
        <v>44767</v>
      </c>
      <c r="G35" s="47" t="str">
        <f ca="1">INDEX([6]!PAJAK[NO.NOTA],MATCH(Table1[[#This Row],[ID]],[6]!PAJAK[ID],0))</f>
        <v>SA220710906</v>
      </c>
      <c r="I35" s="51" t="str">
        <f ca="1">INDEX([6]!PAJAK[SUPPLIER],MATCH(Table1[[#This Row],[ID]],[6]!PAJAK[ID],0))</f>
        <v>PT ATALI MAKMUR</v>
      </c>
      <c r="J35" s="52">
        <f ca="1">IFERROR(INDEX(INDIRECT("NOTA_.xlsx!"&amp;Table1[[#This Row],[1_h]]&amp;"[sub total]"),MATCH(Table1[[#This Row],[ID]],INDIRECT("NOTA_.xlsx!"&amp;Table1[[#This Row],[1_h]]&amp;"[ID]"),0)),"")</f>
        <v>12195435</v>
      </c>
      <c r="K35" s="52">
        <f ca="1">IFERROR(INDEX(INDIRECT("NOTA_.xlsx!"&amp;Table1[[#This Row],[1_h]]&amp;"[diskon]"),MATCH(Table1[[#This Row],[ID]],INDIRECT("NOTA_.xlsx!"&amp;Table1[[#This Row],[1_h]]&amp;"[ID]"),0)),"")</f>
        <v>0</v>
      </c>
      <c r="L35" s="52">
        <f ca="1">IFERROR(INDEX(INDIRECT("NOTA_.xlsx!"&amp;Table1[[#This Row],[1_h]]&amp;"[Dpp]"),MATCH(Table1[[#This Row],[ID]],INDIRECT("NOTA_.xlsx!"&amp;Table1[[#This Row],[1_h]]&amp;"[ID]"),0)),"")</f>
        <v>10986878.378378378</v>
      </c>
      <c r="M35" s="52">
        <f ca="1">IFERROR(INDEX(INDIRECT("NOTA_.xlsx!"&amp;Table1[[#This Row],[1_h]]&amp;"[ppn (11%)]"),MATCH(Table1[[#This Row],[ID]],INDIRECT("NOTA_.xlsx!"&amp;Table1[[#This Row],[1_h]]&amp;"[ID]"),0)),"")</f>
        <v>1208556.6216216215</v>
      </c>
      <c r="N35" s="52">
        <f ca="1">IFERROR(INDEX(INDIRECT("NOTA_.xlsx!"&amp;Table1[[#This Row],[1_h]]&amp;"[total]"),MATCH(Table1[[#This Row],[ID]],INDIRECT("NOTA_.xlsx!"&amp;Table1[[#This Row],[1_h]]&amp;"[ID]"),0)),"")</f>
        <v>12195435</v>
      </c>
      <c r="O35" s="61" t="str">
        <f ca="1">IF(Table1[[#This Row],[NAMA SUPPLIER]]="","",INDEX(conv1[2],MATCH(Table1[[#This Row],[NAMA SUPPLIER]],conv1[1],0)))</f>
        <v>ATALI</v>
      </c>
      <c r="P35" s="51">
        <f ca="1">IF(Table1[[#This Row],[NO. INVOICE]]="","",_xlfn.IFNA(MATCH(Table1[[#This Row],[NO. INVOICE]],'[3]REKAP PEMBELIAN'!$C:$C,0),MATCH(VALUE(Table1[[#This Row],[NO. INVOICE]]),'[3]REKAP PEMBELIAN'!$C:$C,0)))</f>
        <v>404</v>
      </c>
    </row>
    <row r="36" spans="1:16" s="50" customFormat="1" x14ac:dyDescent="0.25">
      <c r="A36" s="47">
        <f ca="1">IF(Table1[[#This Row],[NAMA SUPPLIER]]="","",MATCH(Table1[[#This Row],[N_ID]],INDIRECT(Table1[[#This Row],[1_h]]&amp;"[N_ID]"),0))</f>
        <v>211</v>
      </c>
      <c r="B36" s="54" t="s">
        <v>127</v>
      </c>
      <c r="C36" s="47">
        <f ca="1">_xlfn.IFNA(INDEX([6]!PAJAK[ID],MATCH(Table1[[#This Row],[N_ID]],[6]!PAJAK[ID_P],0)),"")</f>
        <v>174</v>
      </c>
      <c r="D36" s="47">
        <f ca="1">IF(Table1[[#This Row],[ID]]="","",INDEX([6]!PAJAK[QB],MATCH(Table1[[#This Row],[ID]],[6]!PAJAK[ID],0)))</f>
        <v>9</v>
      </c>
      <c r="E36" s="49">
        <f ca="1">INDEX([6]!PAJAK[TGL.MASUK],MATCH(Table1[[#This Row],[ID]],[6]!PAJAK[ID],0))</f>
        <v>44771</v>
      </c>
      <c r="F36" s="49">
        <f ca="1">INDEX([6]!PAJAK[TGL.NOTA],MATCH(Table1[[#This Row],[ID]],[6]!PAJAK[ID],0))</f>
        <v>44767</v>
      </c>
      <c r="G36" s="47" t="str">
        <f ca="1">INDEX([6]!PAJAK[NO.NOTA],MATCH(Table1[[#This Row],[ID]],[6]!PAJAK[ID],0))</f>
        <v>SA220710967</v>
      </c>
      <c r="I36" s="51" t="str">
        <f ca="1">INDEX([6]!PAJAK[SUPPLIER],MATCH(Table1[[#This Row],[ID]],[6]!PAJAK[ID],0))</f>
        <v>PT ATALI MAKMUR</v>
      </c>
      <c r="J36" s="52">
        <f ca="1">IFERROR(INDEX(INDIRECT("NOTA_.xlsx!"&amp;Table1[[#This Row],[1_h]]&amp;"[sub total]"),MATCH(Table1[[#This Row],[ID]],INDIRECT("NOTA_.xlsx!"&amp;Table1[[#This Row],[1_h]]&amp;"[ID]"),0)),"")</f>
        <v>14321440</v>
      </c>
      <c r="K36" s="52">
        <f ca="1">IFERROR(INDEX(INDIRECT("NOTA_.xlsx!"&amp;Table1[[#This Row],[1_h]]&amp;"[diskon]"),MATCH(Table1[[#This Row],[ID]],INDIRECT("NOTA_.xlsx!"&amp;Table1[[#This Row],[1_h]]&amp;"[ID]"),0)),"")</f>
        <v>0</v>
      </c>
      <c r="L36" s="52">
        <f ca="1">IFERROR(INDEX(INDIRECT("NOTA_.xlsx!"&amp;Table1[[#This Row],[1_h]]&amp;"[Dpp]"),MATCH(Table1[[#This Row],[ID]],INDIRECT("NOTA_.xlsx!"&amp;Table1[[#This Row],[1_h]]&amp;"[ID]"),0)),"")</f>
        <v>12902198.198198197</v>
      </c>
      <c r="M36" s="52">
        <f ca="1">IFERROR(INDEX(INDIRECT("NOTA_.xlsx!"&amp;Table1[[#This Row],[1_h]]&amp;"[ppn (11%)]"),MATCH(Table1[[#This Row],[ID]],INDIRECT("NOTA_.xlsx!"&amp;Table1[[#This Row],[1_h]]&amp;"[ID]"),0)),"")</f>
        <v>1419241.8018018017</v>
      </c>
      <c r="N36" s="52">
        <f ca="1">IFERROR(INDEX(INDIRECT("NOTA_.xlsx!"&amp;Table1[[#This Row],[1_h]]&amp;"[total]"),MATCH(Table1[[#This Row],[ID]],INDIRECT("NOTA_.xlsx!"&amp;Table1[[#This Row],[1_h]]&amp;"[ID]"),0)),"")</f>
        <v>14321440</v>
      </c>
      <c r="O36" s="61" t="str">
        <f ca="1">IF(Table1[[#This Row],[NAMA SUPPLIER]]="","",INDEX(conv1[2],MATCH(Table1[[#This Row],[NAMA SUPPLIER]],conv1[1],0)))</f>
        <v>ATALI</v>
      </c>
      <c r="P36" s="51">
        <f ca="1">IF(Table1[[#This Row],[NO. INVOICE]]="","",_xlfn.IFNA(MATCH(Table1[[#This Row],[NO. INVOICE]],'[3]REKAP PEMBELIAN'!$C:$C,0),MATCH(VALUE(Table1[[#This Row],[NO. INVOICE]]),'[3]REKAP PEMBELIAN'!$C:$C,0)))</f>
        <v>405</v>
      </c>
    </row>
    <row r="37" spans="1:16" s="50" customFormat="1" x14ac:dyDescent="0.25">
      <c r="A37" s="47">
        <f ca="1">IF(Table1[[#This Row],[NAMA SUPPLIER]]="","",MATCH(Table1[[#This Row],[N_ID]],INDIRECT(Table1[[#This Row],[1_h]]&amp;"[N_ID]"),0))</f>
        <v>221</v>
      </c>
      <c r="B37" s="54" t="s">
        <v>123</v>
      </c>
      <c r="C37" s="47">
        <f ca="1">_xlfn.IFNA(INDEX([6]!PAJAK[ID],MATCH(Table1[[#This Row],[N_ID]],[6]!PAJAK[ID_P],0)),"")</f>
        <v>171</v>
      </c>
      <c r="D37" s="47">
        <f ca="1">IF(Table1[[#This Row],[ID]]="","",INDEX([6]!PAJAK[QB],MATCH(Table1[[#This Row],[ID]],[6]!PAJAK[ID],0)))</f>
        <v>11</v>
      </c>
      <c r="E37" s="49">
        <f ca="1">INDEX([6]!PAJAK[TGL.MASUK],MATCH(Table1[[#This Row],[ID]],[6]!PAJAK[ID],0))</f>
        <v>44771</v>
      </c>
      <c r="F37" s="49">
        <f ca="1">INDEX([6]!PAJAK[TGL.NOTA],MATCH(Table1[[#This Row],[ID]],[6]!PAJAK[ID],0))</f>
        <v>44768</v>
      </c>
      <c r="G37" s="47" t="str">
        <f ca="1">INDEX([6]!PAJAK[NO.NOTA],MATCH(Table1[[#This Row],[ID]],[6]!PAJAK[ID],0))</f>
        <v>SA220711022</v>
      </c>
      <c r="I37" s="51" t="str">
        <f ca="1">INDEX([6]!PAJAK[SUPPLIER],MATCH(Table1[[#This Row],[ID]],[6]!PAJAK[ID],0))</f>
        <v>PT ATALI MAKMUR</v>
      </c>
      <c r="J37" s="52">
        <f ca="1">IFERROR(INDEX(INDIRECT("NOTA_.xlsx!"&amp;Table1[[#This Row],[1_h]]&amp;"[sub total]"),MATCH(Table1[[#This Row],[ID]],INDIRECT("NOTA_.xlsx!"&amp;Table1[[#This Row],[1_h]]&amp;"[ID]"),0)),"")</f>
        <v>38045448</v>
      </c>
      <c r="K37" s="52">
        <f ca="1">IFERROR(INDEX(INDIRECT("NOTA_.xlsx!"&amp;Table1[[#This Row],[1_h]]&amp;"[diskon]"),MATCH(Table1[[#This Row],[ID]],INDIRECT("NOTA_.xlsx!"&amp;Table1[[#This Row],[1_h]]&amp;"[ID]"),0)),"")</f>
        <v>387828</v>
      </c>
      <c r="L37" s="52">
        <f ca="1">IFERROR(INDEX(INDIRECT("NOTA_.xlsx!"&amp;Table1[[#This Row],[1_h]]&amp;"[Dpp]"),MATCH(Table1[[#This Row],[ID]],INDIRECT("NOTA_.xlsx!"&amp;Table1[[#This Row],[1_h]]&amp;"[ID]"),0)),"")</f>
        <v>33925783.783783779</v>
      </c>
      <c r="M37" s="52">
        <f ca="1">IFERROR(INDEX(INDIRECT("NOTA_.xlsx!"&amp;Table1[[#This Row],[1_h]]&amp;"[ppn (11%)]"),MATCH(Table1[[#This Row],[ID]],INDIRECT("NOTA_.xlsx!"&amp;Table1[[#This Row],[1_h]]&amp;"[ID]"),0)),"")</f>
        <v>3731836.2162162159</v>
      </c>
      <c r="N37" s="52">
        <f ca="1">IFERROR(INDEX(INDIRECT("NOTA_.xlsx!"&amp;Table1[[#This Row],[1_h]]&amp;"[total]"),MATCH(Table1[[#This Row],[ID]],INDIRECT("NOTA_.xlsx!"&amp;Table1[[#This Row],[1_h]]&amp;"[ID]"),0)),"")</f>
        <v>37657619.999999993</v>
      </c>
      <c r="O37" s="61" t="str">
        <f ca="1">IF(Table1[[#This Row],[NAMA SUPPLIER]]="","",INDEX(conv1[2],MATCH(Table1[[#This Row],[NAMA SUPPLIER]],conv1[1],0)))</f>
        <v>ATALI</v>
      </c>
      <c r="P37" s="51">
        <f ca="1">IF(Table1[[#This Row],[NO. INVOICE]]="","",_xlfn.IFNA(MATCH(Table1[[#This Row],[NO. INVOICE]],'[3]REKAP PEMBELIAN'!$C:$C,0),MATCH(VALUE(Table1[[#This Row],[NO. INVOICE]]),'[3]REKAP PEMBELIAN'!$C:$C,0)))</f>
        <v>406</v>
      </c>
    </row>
    <row r="38" spans="1:16" s="50" customFormat="1" x14ac:dyDescent="0.25">
      <c r="A38" s="47">
        <f ca="1">IF(Table1[[#This Row],[NAMA SUPPLIER]]="","",MATCH(Table1[[#This Row],[N_ID]],INDIRECT(Table1[[#This Row],[1_h]]&amp;"[N_ID]"),0))</f>
        <v>233</v>
      </c>
      <c r="B38" s="54" t="s">
        <v>130</v>
      </c>
      <c r="C38" s="47">
        <f ca="1">_xlfn.IFNA(INDEX([6]!PAJAK[ID],MATCH(Table1[[#This Row],[N_ID]],[6]!PAJAK[ID_P],0)),"")</f>
        <v>176</v>
      </c>
      <c r="D38" s="47">
        <f ca="1">IF(Table1[[#This Row],[ID]]="","",INDEX([6]!PAJAK[QB],MATCH(Table1[[#This Row],[ID]],[6]!PAJAK[ID],0)))</f>
        <v>7</v>
      </c>
      <c r="E38" s="49">
        <f ca="1">INDEX([6]!PAJAK[TGL.MASUK],MATCH(Table1[[#This Row],[ID]],[6]!PAJAK[ID],0))</f>
        <v>44775</v>
      </c>
      <c r="F38" s="49">
        <f ca="1">INDEX([6]!PAJAK[TGL.NOTA],MATCH(Table1[[#This Row],[ID]],[6]!PAJAK[ID],0))</f>
        <v>44769</v>
      </c>
      <c r="G38" s="47" t="str">
        <f ca="1">INDEX([6]!PAJAK[NO.NOTA],MATCH(Table1[[#This Row],[ID]],[6]!PAJAK[ID],0))</f>
        <v>SA220711139</v>
      </c>
      <c r="I38" s="51" t="str">
        <f ca="1">INDEX([6]!PAJAK[SUPPLIER],MATCH(Table1[[#This Row],[ID]],[6]!PAJAK[ID],0))</f>
        <v>PT ATALI MAKMUR</v>
      </c>
      <c r="J38" s="52">
        <f ca="1">IFERROR(INDEX(INDIRECT("NOTA_.xlsx!"&amp;Table1[[#This Row],[1_h]]&amp;"[sub total]"),MATCH(Table1[[#This Row],[ID]],INDIRECT("NOTA_.xlsx!"&amp;Table1[[#This Row],[1_h]]&amp;"[ID]"),0)),"")</f>
        <v>35131950</v>
      </c>
      <c r="K38" s="52">
        <f ca="1">IFERROR(INDEX(INDIRECT("NOTA_.xlsx!"&amp;Table1[[#This Row],[1_h]]&amp;"[diskon]"),MATCH(Table1[[#This Row],[ID]],INDIRECT("NOTA_.xlsx!"&amp;Table1[[#This Row],[1_h]]&amp;"[ID]"),0)),"")</f>
        <v>1633905</v>
      </c>
      <c r="L38" s="52">
        <f ca="1">IFERROR(INDEX(INDIRECT("NOTA_.xlsx!"&amp;Table1[[#This Row],[1_h]]&amp;"[Dpp]"),MATCH(Table1[[#This Row],[ID]],INDIRECT("NOTA_.xlsx!"&amp;Table1[[#This Row],[1_h]]&amp;"[ID]"),0)),"")</f>
        <v>30178418.918918915</v>
      </c>
      <c r="M38" s="52">
        <f ca="1">IFERROR(INDEX(INDIRECT("NOTA_.xlsx!"&amp;Table1[[#This Row],[1_h]]&amp;"[ppn (11%)]"),MATCH(Table1[[#This Row],[ID]],INDIRECT("NOTA_.xlsx!"&amp;Table1[[#This Row],[1_h]]&amp;"[ID]"),0)),"")</f>
        <v>3319626.0810810807</v>
      </c>
      <c r="N38" s="52">
        <f ca="1">IFERROR(INDEX(INDIRECT("NOTA_.xlsx!"&amp;Table1[[#This Row],[1_h]]&amp;"[total]"),MATCH(Table1[[#This Row],[ID]],INDIRECT("NOTA_.xlsx!"&amp;Table1[[#This Row],[1_h]]&amp;"[ID]"),0)),"")</f>
        <v>33498044.999999996</v>
      </c>
      <c r="O38" s="61" t="str">
        <f ca="1">IF(Table1[[#This Row],[NAMA SUPPLIER]]="","",INDEX(conv1[2],MATCH(Table1[[#This Row],[NAMA SUPPLIER]],conv1[1],0)))</f>
        <v>ATALI</v>
      </c>
      <c r="P38" s="51">
        <f ca="1">IF(Table1[[#This Row],[NO. INVOICE]]="","",_xlfn.IFNA(MATCH(Table1[[#This Row],[NO. INVOICE]],'[3]REKAP PEMBELIAN'!$C:$C,0),MATCH(VALUE(Table1[[#This Row],[NO. INVOICE]]),'[3]REKAP PEMBELIAN'!$C:$C,0)))</f>
        <v>407</v>
      </c>
    </row>
    <row r="39" spans="1:16" s="50" customFormat="1" x14ac:dyDescent="0.25">
      <c r="A39" s="47">
        <f ca="1">IF(Table1[[#This Row],[NAMA SUPPLIER]]="","",MATCH(Table1[[#This Row],[N_ID]],INDIRECT(Table1[[#This Row],[1_h]]&amp;"[N_ID]"),0))</f>
        <v>241</v>
      </c>
      <c r="B39" s="54" t="s">
        <v>133</v>
      </c>
      <c r="C39" s="47">
        <f ca="1">_xlfn.IFNA(INDEX([6]!PAJAK[ID],MATCH(Table1[[#This Row],[N_ID]],[6]!PAJAK[ID_P],0)),"")</f>
        <v>177</v>
      </c>
      <c r="D39" s="47">
        <f ca="1">IF(Table1[[#This Row],[ID]]="","",INDEX([6]!PAJAK[QB],MATCH(Table1[[#This Row],[ID]],[6]!PAJAK[ID],0)))</f>
        <v>5</v>
      </c>
      <c r="E39" s="49">
        <f ca="1">INDEX([6]!PAJAK[TGL.MASUK],MATCH(Table1[[#This Row],[ID]],[6]!PAJAK[ID],0))</f>
        <v>44776</v>
      </c>
      <c r="F39" s="49">
        <f ca="1">INDEX([6]!PAJAK[TGL.NOTA],MATCH(Table1[[#This Row],[ID]],[6]!PAJAK[ID],0))</f>
        <v>44770</v>
      </c>
      <c r="G39" s="47" t="str">
        <f ca="1">INDEX([6]!PAJAK[NO.NOTA],MATCH(Table1[[#This Row],[ID]],[6]!PAJAK[ID],0))</f>
        <v>SA220711222</v>
      </c>
      <c r="I39" s="51" t="str">
        <f ca="1">INDEX([6]!PAJAK[SUPPLIER],MATCH(Table1[[#This Row],[ID]],[6]!PAJAK[ID],0))</f>
        <v>PT ATALI MAKMUR</v>
      </c>
      <c r="J39" s="52">
        <f ca="1">IFERROR(INDEX(INDIRECT("NOTA_.xlsx!"&amp;Table1[[#This Row],[1_h]]&amp;"[sub total]"),MATCH(Table1[[#This Row],[ID]],INDIRECT("NOTA_.xlsx!"&amp;Table1[[#This Row],[1_h]]&amp;"[ID]"),0)),"")</f>
        <v>19843433.75</v>
      </c>
      <c r="K39" s="52">
        <f ca="1">IFERROR(INDEX(INDIRECT("NOTA_.xlsx!"&amp;Table1[[#This Row],[1_h]]&amp;"[diskon]"),MATCH(Table1[[#This Row],[ID]],INDIRECT("NOTA_.xlsx!"&amp;Table1[[#This Row],[1_h]]&amp;"[ID]"),0)),"")</f>
        <v>0</v>
      </c>
      <c r="L39" s="52">
        <f ca="1">IFERROR(INDEX(INDIRECT("NOTA_.xlsx!"&amp;Table1[[#This Row],[1_h]]&amp;"[Dpp]"),MATCH(Table1[[#This Row],[ID]],INDIRECT("NOTA_.xlsx!"&amp;Table1[[#This Row],[1_h]]&amp;"[ID]"),0)),"")</f>
        <v>17876967.342342339</v>
      </c>
      <c r="M39" s="52">
        <f ca="1">IFERROR(INDEX(INDIRECT("NOTA_.xlsx!"&amp;Table1[[#This Row],[1_h]]&amp;"[ppn (11%)]"),MATCH(Table1[[#This Row],[ID]],INDIRECT("NOTA_.xlsx!"&amp;Table1[[#This Row],[1_h]]&amp;"[ID]"),0)),"")</f>
        <v>1966466.4076576573</v>
      </c>
      <c r="N39" s="52">
        <f ca="1">IFERROR(INDEX(INDIRECT("NOTA_.xlsx!"&amp;Table1[[#This Row],[1_h]]&amp;"[total]"),MATCH(Table1[[#This Row],[ID]],INDIRECT("NOTA_.xlsx!"&amp;Table1[[#This Row],[1_h]]&amp;"[ID]"),0)),"")</f>
        <v>19843433.749999996</v>
      </c>
      <c r="O39" s="61" t="str">
        <f ca="1">IF(Table1[[#This Row],[NAMA SUPPLIER]]="","",INDEX(conv1[2],MATCH(Table1[[#This Row],[NAMA SUPPLIER]],conv1[1],0)))</f>
        <v>ATALI</v>
      </c>
      <c r="P39" s="51">
        <f ca="1">IF(Table1[[#This Row],[NO. INVOICE]]="","",_xlfn.IFNA(MATCH(Table1[[#This Row],[NO. INVOICE]],'[3]REKAP PEMBELIAN'!$C:$C,0),MATCH(VALUE(Table1[[#This Row],[NO. INVOICE]]),'[3]REKAP PEMBELIAN'!$C:$C,0)))</f>
        <v>408</v>
      </c>
    </row>
    <row r="40" spans="1:16" s="50" customFormat="1" x14ac:dyDescent="0.25">
      <c r="A40" s="47">
        <f ca="1">IF(Table1[[#This Row],[NAMA SUPPLIER]]="","",MATCH(Table1[[#This Row],[N_ID]],INDIRECT(Table1[[#This Row],[1_h]]&amp;"[N_ID]"),0))</f>
        <v>247</v>
      </c>
      <c r="B40" s="66" t="s">
        <v>134</v>
      </c>
      <c r="C40" s="47">
        <f ca="1">_xlfn.IFNA(INDEX([6]!PAJAK[ID],MATCH(Table1[[#This Row],[N_ID]],[6]!PAJAK[ID_P],0)),"")</f>
        <v>180</v>
      </c>
      <c r="D40" s="47">
        <f ca="1">IF(Table1[[#This Row],[ID]]="","",INDEX([6]!PAJAK[QB],MATCH(Table1[[#This Row],[ID]],[6]!PAJAK[ID],0)))</f>
        <v>6</v>
      </c>
      <c r="E40" s="49">
        <f ca="1">INDEX([6]!PAJAK[TGL.MASUK],MATCH(Table1[[#This Row],[ID]],[6]!PAJAK[ID],0))</f>
        <v>44777</v>
      </c>
      <c r="F40" s="49">
        <f ca="1">INDEX([6]!PAJAK[TGL.NOTA],MATCH(Table1[[#This Row],[ID]],[6]!PAJAK[ID],0))</f>
        <v>44771</v>
      </c>
      <c r="G40" s="47" t="str">
        <f ca="1">INDEX([6]!PAJAK[NO.NOTA],MATCH(Table1[[#This Row],[ID]],[6]!PAJAK[ID],0))</f>
        <v>SA220711283</v>
      </c>
      <c r="I40" s="51" t="str">
        <f ca="1">INDEX([6]!PAJAK[SUPPLIER],MATCH(Table1[[#This Row],[ID]],[6]!PAJAK[ID],0))</f>
        <v>PT ATALI MAKMUR</v>
      </c>
      <c r="J40" s="52">
        <f ca="1">IFERROR(INDEX(INDIRECT("NOTA_.xlsx!"&amp;Table1[[#This Row],[1_h]]&amp;"[sub total]"),MATCH(Table1[[#This Row],[ID]],INDIRECT("NOTA_.xlsx!"&amp;Table1[[#This Row],[1_h]]&amp;"[ID]"),0)),"")</f>
        <v>22335687.5</v>
      </c>
      <c r="K40" s="52">
        <f ca="1">IFERROR(INDEX(INDIRECT("NOTA_.xlsx!"&amp;Table1[[#This Row],[1_h]]&amp;"[diskon]"),MATCH(Table1[[#This Row],[ID]],INDIRECT("NOTA_.xlsx!"&amp;Table1[[#This Row],[1_h]]&amp;"[ID]"),0)),"")</f>
        <v>0</v>
      </c>
      <c r="L40" s="52">
        <f ca="1">IFERROR(INDEX(INDIRECT("NOTA_.xlsx!"&amp;Table1[[#This Row],[1_h]]&amp;"[Dpp]"),MATCH(Table1[[#This Row],[ID]],INDIRECT("NOTA_.xlsx!"&amp;Table1[[#This Row],[1_h]]&amp;"[ID]"),0)),"")</f>
        <v>20122240.990990989</v>
      </c>
      <c r="M40" s="52">
        <f ca="1">IFERROR(INDEX(INDIRECT("NOTA_.xlsx!"&amp;Table1[[#This Row],[1_h]]&amp;"[ppn (11%)]"),MATCH(Table1[[#This Row],[ID]],INDIRECT("NOTA_.xlsx!"&amp;Table1[[#This Row],[1_h]]&amp;"[ID]"),0)),"")</f>
        <v>2213446.5090090088</v>
      </c>
      <c r="N40" s="52">
        <f ca="1">IFERROR(INDEX(INDIRECT("NOTA_.xlsx!"&amp;Table1[[#This Row],[1_h]]&amp;"[total]"),MATCH(Table1[[#This Row],[ID]],INDIRECT("NOTA_.xlsx!"&amp;Table1[[#This Row],[1_h]]&amp;"[ID]"),0)),"")</f>
        <v>22335687.499999996</v>
      </c>
      <c r="O40" s="61" t="str">
        <f ca="1">IF(Table1[[#This Row],[NAMA SUPPLIER]]="","",INDEX(conv1[2],MATCH(Table1[[#This Row],[NAMA SUPPLIER]],conv1[1],0)))</f>
        <v>ATALI</v>
      </c>
      <c r="P40" s="51">
        <f ca="1">IF(Table1[[#This Row],[NO. INVOICE]]="","",_xlfn.IFNA(MATCH(Table1[[#This Row],[NO. INVOICE]],'[3]REKAP PEMBELIAN'!$C:$C,0),MATCH(VALUE(Table1[[#This Row],[NO. INVOICE]]),'[3]REKAP PEMBELIAN'!$C:$C,0)))</f>
        <v>409</v>
      </c>
    </row>
    <row r="41" spans="1:16" x14ac:dyDescent="0.25">
      <c r="A41" s="6" t="str">
        <f ca="1">IF(Table1[[#This Row],[NAMA SUPPLIER]]="","",MATCH(Table1[[#This Row],[N_ID]],INDIRECT(Table1[[#This Row],[1_h]]&amp;"[N_ID]"),0))</f>
        <v/>
      </c>
      <c r="B41" s="65"/>
      <c r="C41" s="6" t="str">
        <f ca="1">_xlfn.IFNA(INDEX([6]!PAJAK[ID],MATCH(Table1[[#This Row],[N_ID]],[6]!PAJAK[ID_P],0)),"")</f>
        <v/>
      </c>
      <c r="D41" s="6" t="str">
        <f ca="1">IF(Table1[[#This Row],[ID]]="","",INDEX([6]!PAJAK[QB],MATCH(Table1[[#This Row],[ID]],[6]!PAJAK[ID],0)))</f>
        <v/>
      </c>
      <c r="E41" s="3" t="str">
        <f ca="1">INDEX([6]!PAJAK[TGL.MASUK],MATCH(Table1[[#This Row],[ID]],[6]!PAJAK[ID],0))</f>
        <v/>
      </c>
      <c r="F41" s="3" t="str">
        <f ca="1">INDEX([6]!PAJAK[TGL.NOTA],MATCH(Table1[[#This Row],[ID]],[6]!PAJAK[ID],0))</f>
        <v/>
      </c>
      <c r="G41" s="6" t="str">
        <f ca="1">INDEX([6]!PAJAK[NO.NOTA],MATCH(Table1[[#This Row],[ID]],[6]!PAJAK[ID],0))</f>
        <v/>
      </c>
      <c r="I41" s="4" t="str">
        <f ca="1">INDEX([6]!PAJAK[SUPPLIER],MATCH(Table1[[#This Row],[ID]],[6]!PAJAK[ID],0))</f>
        <v/>
      </c>
      <c r="J41" s="5" t="str">
        <f ca="1">IFERROR(INDEX(INDIRECT("NOTA_.xlsx!"&amp;Table1[[#This Row],[1_h]]&amp;"[sub total]"),MATCH(Table1[[#This Row],[ID]],INDIRECT("NOTA_.xlsx!"&amp;Table1[[#This Row],[1_h]]&amp;"[ID]"),0)),"")</f>
        <v/>
      </c>
      <c r="K41" s="5" t="str">
        <f ca="1">IFERROR(INDEX(INDIRECT("NOTA_.xlsx!"&amp;Table1[[#This Row],[1_h]]&amp;"[diskon]"),MATCH(Table1[[#This Row],[ID]],INDIRECT("NOTA_.xlsx!"&amp;Table1[[#This Row],[1_h]]&amp;"[ID]"),0)),"")</f>
        <v/>
      </c>
      <c r="L41" s="5" t="str">
        <f ca="1">IFERROR(INDEX(INDIRECT("NOTA_.xlsx!"&amp;Table1[[#This Row],[1_h]]&amp;"[Dpp]"),MATCH(Table1[[#This Row],[ID]],INDIRECT("NOTA_.xlsx!"&amp;Table1[[#This Row],[1_h]]&amp;"[ID]"),0)),"")</f>
        <v/>
      </c>
      <c r="M41" s="5" t="str">
        <f ca="1">IFERROR(INDEX(INDIRECT("NOTA_.xlsx!"&amp;Table1[[#This Row],[1_h]]&amp;"[ppn (11%)]"),MATCH(Table1[[#This Row],[ID]],INDIRECT("NOTA_.xlsx!"&amp;Table1[[#This Row],[1_h]]&amp;"[ID]"),0)),"")</f>
        <v/>
      </c>
      <c r="N41" s="5" t="str">
        <f ca="1">IFERROR(INDEX(INDIRECT("NOTA_.xlsx!"&amp;Table1[[#This Row],[1_h]]&amp;"[total]"),MATCH(Table1[[#This Row],[ID]],INDIRECT("NOTA_.xlsx!"&amp;Table1[[#This Row],[1_h]]&amp;"[ID]"),0)),"")</f>
        <v/>
      </c>
      <c r="O41" s="59" t="str">
        <f ca="1">IF(Table1[[#This Row],[NAMA SUPPLIER]]="","",INDEX(conv1[2],MATCH(Table1[[#This Row],[NAMA SUPPLIER]],conv1[1],0)))</f>
        <v/>
      </c>
      <c r="P41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42" spans="1:16" x14ac:dyDescent="0.25">
      <c r="A42" s="6">
        <f ca="1">IF(Table1[[#This Row],[NAMA SUPPLIER]]="","",MATCH(Table1[[#This Row],[N_ID]],INDIRECT(Table1[[#This Row],[1_h]]&amp;"[N_ID]"),0))</f>
        <v>1</v>
      </c>
      <c r="B42" s="65" t="s">
        <v>62</v>
      </c>
      <c r="C42" s="6">
        <f ca="1">_xlfn.IFNA(INDEX([6]!PAJAK[ID],MATCH(Table1[[#This Row],[N_ID]],[6]!PAJAK[ID_P],0)),"")</f>
        <v>76</v>
      </c>
      <c r="D42" s="6">
        <f ca="1">IF(Table1[[#This Row],[ID]]="","",INDEX([6]!PAJAK[QB],MATCH(Table1[[#This Row],[ID]],[6]!PAJAK[ID],0)))</f>
        <v>4</v>
      </c>
      <c r="E42" s="3">
        <f ca="1">INDEX([6]!PAJAK[TGL.MASUK],MATCH(Table1[[#This Row],[ID]],[6]!PAJAK[ID],0))</f>
        <v>44756</v>
      </c>
      <c r="F42" s="3">
        <f ca="1">INDEX([6]!PAJAK[TGL.NOTA],MATCH(Table1[[#This Row],[ID]],[6]!PAJAK[ID],0))</f>
        <v>44753</v>
      </c>
      <c r="G42" s="6" t="str">
        <f ca="1">INDEX([6]!PAJAK[NO.NOTA],MATCH(Table1[[#This Row],[ID]],[6]!PAJAK[ID],0))</f>
        <v>SN22071265</v>
      </c>
      <c r="I42" s="4" t="str">
        <f ca="1">INDEX([6]!PAJAK[SUPPLIER],MATCH(Table1[[#This Row],[ID]],[6]!PAJAK[ID],0))</f>
        <v>PT KALINDO SUKSES</v>
      </c>
      <c r="J42" s="5">
        <f ca="1">IFERROR(INDEX(INDIRECT("NOTA_.xlsx!"&amp;Table1[[#This Row],[1_h]]&amp;"[sub total]"),MATCH(Table1[[#This Row],[ID]],INDIRECT("NOTA_.xlsx!"&amp;Table1[[#This Row],[1_h]]&amp;"[ID]"),0)),"")</f>
        <v>14064750</v>
      </c>
      <c r="K42" s="5">
        <f ca="1">IFERROR(INDEX(INDIRECT("NOTA_.xlsx!"&amp;Table1[[#This Row],[1_h]]&amp;"[diskon]"),MATCH(Table1[[#This Row],[ID]],INDIRECT("NOTA_.xlsx!"&amp;Table1[[#This Row],[1_h]]&amp;"[ID]"),0)),"")</f>
        <v>0</v>
      </c>
      <c r="L42" s="5">
        <f ca="1">IFERROR(INDEX(INDIRECT("NOTA_.xlsx!"&amp;Table1[[#This Row],[1_h]]&amp;"[Dpp]"),MATCH(Table1[[#This Row],[ID]],INDIRECT("NOTA_.xlsx!"&amp;Table1[[#This Row],[1_h]]&amp;"[ID]"),0)),"")</f>
        <v>12670945.945945945</v>
      </c>
      <c r="M42" s="5">
        <f ca="1">IFERROR(INDEX(INDIRECT("NOTA_.xlsx!"&amp;Table1[[#This Row],[1_h]]&amp;"[ppn (11%)]"),MATCH(Table1[[#This Row],[ID]],INDIRECT("NOTA_.xlsx!"&amp;Table1[[#This Row],[1_h]]&amp;"[ID]"),0)),"")</f>
        <v>1393804.054054054</v>
      </c>
      <c r="N42" s="5">
        <f ca="1">IFERROR(INDEX(INDIRECT("NOTA_.xlsx!"&amp;Table1[[#This Row],[1_h]]&amp;"[total]"),MATCH(Table1[[#This Row],[ID]],INDIRECT("NOTA_.xlsx!"&amp;Table1[[#This Row],[1_h]]&amp;"[ID]"),0)),"")</f>
        <v>14064749.999999998</v>
      </c>
      <c r="O42" s="59" t="str">
        <f ca="1">IF(Table1[[#This Row],[NAMA SUPPLIER]]="","",INDEX(conv1[2],MATCH(Table1[[#This Row],[NAMA SUPPLIER]],conv1[1],0)))</f>
        <v>KALINDO</v>
      </c>
      <c r="P42" s="4">
        <f ca="1">IF(Table1[[#This Row],[NO. INVOICE]]="","",_xlfn.IFNA(MATCH(Table1[[#This Row],[NO. INVOICE]],'[3]REKAP PEMBELIAN'!$C:$C,0),MATCH(VALUE(Table1[[#This Row],[NO. INVOICE]]),'[3]REKAP PEMBELIAN'!$C:$C,0)))</f>
        <v>411</v>
      </c>
    </row>
    <row r="43" spans="1:16" x14ac:dyDescent="0.25">
      <c r="A43" s="6">
        <f ca="1">IF(Table1[[#This Row],[NAMA SUPPLIER]]="","",MATCH(Table1[[#This Row],[N_ID]],INDIRECT(Table1[[#This Row],[1_h]]&amp;"[N_ID]"),0))</f>
        <v>6</v>
      </c>
      <c r="B43" s="65" t="s">
        <v>83</v>
      </c>
      <c r="C43" s="6">
        <f ca="1">_xlfn.IFNA(INDEX([6]!PAJAK[ID],MATCH(Table1[[#This Row],[N_ID]],[6]!PAJAK[ID_P],0)),"")</f>
        <v>102</v>
      </c>
      <c r="D43" s="6">
        <f ca="1">IF(Table1[[#This Row],[ID]]="","",INDEX([6]!PAJAK[QB],MATCH(Table1[[#This Row],[ID]],[6]!PAJAK[ID],0)))</f>
        <v>4</v>
      </c>
      <c r="E43" s="3">
        <f ca="1">INDEX([6]!PAJAK[TGL.MASUK],MATCH(Table1[[#This Row],[ID]],[6]!PAJAK[ID],0))</f>
        <v>44760</v>
      </c>
      <c r="F43" s="3">
        <f ca="1">INDEX([6]!PAJAK[TGL.NOTA],MATCH(Table1[[#This Row],[ID]],[6]!PAJAK[ID],0))</f>
        <v>44755</v>
      </c>
      <c r="G43" s="6" t="str">
        <f ca="1">INDEX([6]!PAJAK[NO.NOTA],MATCH(Table1[[#This Row],[ID]],[6]!PAJAK[ID],0))</f>
        <v>SN22071278</v>
      </c>
      <c r="I43" s="4" t="str">
        <f ca="1">INDEX([6]!PAJAK[SUPPLIER],MATCH(Table1[[#This Row],[ID]],[6]!PAJAK[ID],0))</f>
        <v>PT KALINDO SUKSES</v>
      </c>
      <c r="J43" s="5">
        <f ca="1">IFERROR(INDEX(INDIRECT("NOTA_.xlsx!"&amp;Table1[[#This Row],[1_h]]&amp;"[sub total]"),MATCH(Table1[[#This Row],[ID]],INDIRECT("NOTA_.xlsx!"&amp;Table1[[#This Row],[1_h]]&amp;"[ID]"),0)),"")</f>
        <v>16857750</v>
      </c>
      <c r="K43" s="5">
        <f ca="1">IFERROR(INDEX(INDIRECT("NOTA_.xlsx!"&amp;Table1[[#This Row],[1_h]]&amp;"[diskon]"),MATCH(Table1[[#This Row],[ID]],INDIRECT("NOTA_.xlsx!"&amp;Table1[[#This Row],[1_h]]&amp;"[ID]"),0)),"")</f>
        <v>227763</v>
      </c>
      <c r="L43" s="5">
        <f ca="1">IFERROR(INDEX(INDIRECT("NOTA_.xlsx!"&amp;Table1[[#This Row],[1_h]]&amp;"[Dpp]"),MATCH(Table1[[#This Row],[ID]],INDIRECT("NOTA_.xlsx!"&amp;Table1[[#This Row],[1_h]]&amp;"[ID]"),0)),"")</f>
        <v>14981970.270270269</v>
      </c>
      <c r="M43" s="5">
        <f ca="1">IFERROR(INDEX(INDIRECT("NOTA_.xlsx!"&amp;Table1[[#This Row],[1_h]]&amp;"[ppn (11%)]"),MATCH(Table1[[#This Row],[ID]],INDIRECT("NOTA_.xlsx!"&amp;Table1[[#This Row],[1_h]]&amp;"[ID]"),0)),"")</f>
        <v>1648016.7297297297</v>
      </c>
      <c r="N43" s="5">
        <f ca="1">IFERROR(INDEX(INDIRECT("NOTA_.xlsx!"&amp;Table1[[#This Row],[1_h]]&amp;"[total]"),MATCH(Table1[[#This Row],[ID]],INDIRECT("NOTA_.xlsx!"&amp;Table1[[#This Row],[1_h]]&amp;"[ID]"),0)),"")</f>
        <v>16629987</v>
      </c>
      <c r="O43" s="59" t="str">
        <f ca="1">IF(Table1[[#This Row],[NAMA SUPPLIER]]="","",INDEX(conv1[2],MATCH(Table1[[#This Row],[NAMA SUPPLIER]],conv1[1],0)))</f>
        <v>KALINDO</v>
      </c>
      <c r="P43" s="4">
        <f ca="1">IF(Table1[[#This Row],[NO. INVOICE]]="","",_xlfn.IFNA(MATCH(Table1[[#This Row],[NO. INVOICE]],'[3]REKAP PEMBELIAN'!$C:$C,0),MATCH(VALUE(Table1[[#This Row],[NO. INVOICE]]),'[3]REKAP PEMBELIAN'!$C:$C,0)))</f>
        <v>412</v>
      </c>
    </row>
    <row r="44" spans="1:16" x14ac:dyDescent="0.25">
      <c r="A44" s="6">
        <f ca="1">IF(Table1[[#This Row],[NAMA SUPPLIER]]="","",MATCH(Table1[[#This Row],[N_ID]],INDIRECT(Table1[[#This Row],[1_h]]&amp;"[N_ID]"),0))</f>
        <v>11</v>
      </c>
      <c r="B44" s="65" t="s">
        <v>131</v>
      </c>
      <c r="C44" s="6">
        <f ca="1">_xlfn.IFNA(INDEX([6]!PAJAK[ID],MATCH(Table1[[#This Row],[N_ID]],[6]!PAJAK[ID_P],0)),"")</f>
        <v>179</v>
      </c>
      <c r="D44" s="6">
        <f ca="1">IF(Table1[[#This Row],[ID]]="","",INDEX([6]!PAJAK[QB],MATCH(Table1[[#This Row],[ID]],[6]!PAJAK[ID],0)))</f>
        <v>4</v>
      </c>
      <c r="E44" s="3">
        <f ca="1">INDEX([6]!PAJAK[TGL.MASUK],MATCH(Table1[[#This Row],[ID]],[6]!PAJAK[ID],0))</f>
        <v>44776</v>
      </c>
      <c r="F44" s="3">
        <f ca="1">INDEX([6]!PAJAK[TGL.NOTA],MATCH(Table1[[#This Row],[ID]],[6]!PAJAK[ID],0))</f>
        <v>44770</v>
      </c>
      <c r="G44" s="6" t="str">
        <f ca="1">INDEX([6]!PAJAK[NO.NOTA],MATCH(Table1[[#This Row],[ID]],[6]!PAJAK[ID],0))</f>
        <v>SN22071413</v>
      </c>
      <c r="I44" s="4" t="str">
        <f ca="1">INDEX([6]!PAJAK[SUPPLIER],MATCH(Table1[[#This Row],[ID]],[6]!PAJAK[ID],0))</f>
        <v>PT KALINDO SUKSES</v>
      </c>
      <c r="J44" s="5">
        <f ca="1">IFERROR(INDEX(INDIRECT("NOTA_.xlsx!"&amp;Table1[[#This Row],[1_h]]&amp;"[sub total]"),MATCH(Table1[[#This Row],[ID]],INDIRECT("NOTA_.xlsx!"&amp;Table1[[#This Row],[1_h]]&amp;"[ID]"),0)),"")</f>
        <v>15529500</v>
      </c>
      <c r="K44" s="5">
        <f ca="1">IFERROR(INDEX(INDIRECT("NOTA_.xlsx!"&amp;Table1[[#This Row],[1_h]]&amp;"[diskon]"),MATCH(Table1[[#This Row],[ID]],INDIRECT("NOTA_.xlsx!"&amp;Table1[[#This Row],[1_h]]&amp;"[ID]"),0)),"")</f>
        <v>0</v>
      </c>
      <c r="L44" s="5">
        <f ca="1">IFERROR(INDEX(INDIRECT("NOTA_.xlsx!"&amp;Table1[[#This Row],[1_h]]&amp;"[Dpp]"),MATCH(Table1[[#This Row],[ID]],INDIRECT("NOTA_.xlsx!"&amp;Table1[[#This Row],[1_h]]&amp;"[ID]"),0)),"")</f>
        <v>13990540.540540539</v>
      </c>
      <c r="M44" s="5">
        <f ca="1">IFERROR(INDEX(INDIRECT("NOTA_.xlsx!"&amp;Table1[[#This Row],[1_h]]&amp;"[ppn (11%)]"),MATCH(Table1[[#This Row],[ID]],INDIRECT("NOTA_.xlsx!"&amp;Table1[[#This Row],[1_h]]&amp;"[ID]"),0)),"")</f>
        <v>1538959.4594594592</v>
      </c>
      <c r="N44" s="5">
        <f ca="1">IFERROR(INDEX(INDIRECT("NOTA_.xlsx!"&amp;Table1[[#This Row],[1_h]]&amp;"[total]"),MATCH(Table1[[#This Row],[ID]],INDIRECT("NOTA_.xlsx!"&amp;Table1[[#This Row],[1_h]]&amp;"[ID]"),0)),"")</f>
        <v>15529499.999999998</v>
      </c>
      <c r="O44" s="59" t="str">
        <f ca="1">IF(Table1[[#This Row],[NAMA SUPPLIER]]="","",INDEX(conv1[2],MATCH(Table1[[#This Row],[NAMA SUPPLIER]],conv1[1],0)))</f>
        <v>KALINDO</v>
      </c>
      <c r="P44" s="4">
        <f ca="1">IF(Table1[[#This Row],[NO. INVOICE]]="","",_xlfn.IFNA(MATCH(Table1[[#This Row],[NO. INVOICE]],'[3]REKAP PEMBELIAN'!$C:$C,0),MATCH(VALUE(Table1[[#This Row],[NO. INVOICE]]),'[3]REKAP PEMBELIAN'!$C:$C,0)))</f>
        <v>413</v>
      </c>
    </row>
    <row r="45" spans="1:16" x14ac:dyDescent="0.25">
      <c r="A45" s="6">
        <f ca="1">IF(Table1[[#This Row],[NAMA SUPPLIER]]="","",MATCH(Table1[[#This Row],[N_ID]],INDIRECT(Table1[[#This Row],[1_h]]&amp;"[N_ID]"),0))</f>
        <v>16</v>
      </c>
      <c r="B45" s="65" t="s">
        <v>132</v>
      </c>
      <c r="C45" s="6">
        <f ca="1">_xlfn.IFNA(INDEX([6]!PAJAK[ID],MATCH(Table1[[#This Row],[N_ID]],[6]!PAJAK[ID_P],0)),"")</f>
        <v>178</v>
      </c>
      <c r="D45" s="6">
        <f ca="1">IF(Table1[[#This Row],[ID]]="","",INDEX([6]!PAJAK[QB],MATCH(Table1[[#This Row],[ID]],[6]!PAJAK[ID],0)))</f>
        <v>1</v>
      </c>
      <c r="E45" s="3">
        <f ca="1">INDEX([6]!PAJAK[TGL.MASUK],MATCH(Table1[[#This Row],[ID]],[6]!PAJAK[ID],0))</f>
        <v>44776</v>
      </c>
      <c r="F45" s="3">
        <f ca="1">INDEX([6]!PAJAK[TGL.NOTA],MATCH(Table1[[#This Row],[ID]],[6]!PAJAK[ID],0))</f>
        <v>44770</v>
      </c>
      <c r="G45" s="6" t="str">
        <f ca="1">INDEX([6]!PAJAK[NO.NOTA],MATCH(Table1[[#This Row],[ID]],[6]!PAJAK[ID],0))</f>
        <v>SN22071418</v>
      </c>
      <c r="I45" s="4" t="str">
        <f ca="1">INDEX([6]!PAJAK[SUPPLIER],MATCH(Table1[[#This Row],[ID]],[6]!PAJAK[ID],0))</f>
        <v>PT KALINDO SUKSES</v>
      </c>
      <c r="J45" s="5">
        <f ca="1">IFERROR(INDEX(INDIRECT("NOTA_.xlsx!"&amp;Table1[[#This Row],[1_h]]&amp;"[sub total]"),MATCH(Table1[[#This Row],[ID]],INDIRECT("NOTA_.xlsx!"&amp;Table1[[#This Row],[1_h]]&amp;"[ID]"),0)),"")</f>
        <v>3118500</v>
      </c>
      <c r="K45" s="5">
        <f ca="1">IFERROR(INDEX(INDIRECT("NOTA_.xlsx!"&amp;Table1[[#This Row],[1_h]]&amp;"[diskon]"),MATCH(Table1[[#This Row],[ID]],INDIRECT("NOTA_.xlsx!"&amp;Table1[[#This Row],[1_h]]&amp;"[ID]"),0)),"")</f>
        <v>0</v>
      </c>
      <c r="L45" s="5">
        <f ca="1">IFERROR(INDEX(INDIRECT("NOTA_.xlsx!"&amp;Table1[[#This Row],[1_h]]&amp;"[Dpp]"),MATCH(Table1[[#This Row],[ID]],INDIRECT("NOTA_.xlsx!"&amp;Table1[[#This Row],[1_h]]&amp;"[ID]"),0)),"")</f>
        <v>2809459.4594594594</v>
      </c>
      <c r="M45" s="5">
        <f ca="1">IFERROR(INDEX(INDIRECT("NOTA_.xlsx!"&amp;Table1[[#This Row],[1_h]]&amp;"[ppn (11%)]"),MATCH(Table1[[#This Row],[ID]],INDIRECT("NOTA_.xlsx!"&amp;Table1[[#This Row],[1_h]]&amp;"[ID]"),0)),"")</f>
        <v>309040.54054054053</v>
      </c>
      <c r="N45" s="5">
        <f ca="1">IFERROR(INDEX(INDIRECT("NOTA_.xlsx!"&amp;Table1[[#This Row],[1_h]]&amp;"[total]"),MATCH(Table1[[#This Row],[ID]],INDIRECT("NOTA_.xlsx!"&amp;Table1[[#This Row],[1_h]]&amp;"[ID]"),0)),"")</f>
        <v>3118500</v>
      </c>
      <c r="O45" s="59" t="str">
        <f ca="1">IF(Table1[[#This Row],[NAMA SUPPLIER]]="","",INDEX(conv1[2],MATCH(Table1[[#This Row],[NAMA SUPPLIER]],conv1[1],0)))</f>
        <v>KALINDO</v>
      </c>
      <c r="P45" s="4">
        <f ca="1">IF(Table1[[#This Row],[NO. INVOICE]]="","",_xlfn.IFNA(MATCH(Table1[[#This Row],[NO. INVOICE]],'[3]REKAP PEMBELIAN'!$C:$C,0),MATCH(VALUE(Table1[[#This Row],[NO. INVOICE]]),'[3]REKAP PEMBELIAN'!$C:$C,0)))</f>
        <v>414</v>
      </c>
    </row>
    <row r="46" spans="1:16" x14ac:dyDescent="0.25">
      <c r="A46" s="6" t="str">
        <f ca="1">IF(Table1[[#This Row],[NAMA SUPPLIER]]="","",MATCH(Table1[[#This Row],[N_ID]],INDIRECT(Table1[[#This Row],[1_h]]&amp;"[N_ID]"),0))</f>
        <v/>
      </c>
      <c r="B46" s="65"/>
      <c r="C46" s="6" t="str">
        <f ca="1">_xlfn.IFNA(INDEX([6]!PAJAK[ID],MATCH(Table1[[#This Row],[N_ID]],[6]!PAJAK[ID_P],0)),"")</f>
        <v/>
      </c>
      <c r="D46" s="6" t="str">
        <f ca="1">IF(Table1[[#This Row],[ID]]="","",INDEX([6]!PAJAK[QB],MATCH(Table1[[#This Row],[ID]],[6]!PAJAK[ID],0)))</f>
        <v/>
      </c>
      <c r="E46" s="3" t="str">
        <f ca="1">INDEX([6]!PAJAK[TGL.MASUK],MATCH(Table1[[#This Row],[ID]],[6]!PAJAK[ID],0))</f>
        <v/>
      </c>
      <c r="F46" s="3" t="str">
        <f ca="1">INDEX([6]!PAJAK[TGL.NOTA],MATCH(Table1[[#This Row],[ID]],[6]!PAJAK[ID],0))</f>
        <v/>
      </c>
      <c r="G46" s="6" t="str">
        <f ca="1">INDEX([6]!PAJAK[NO.NOTA],MATCH(Table1[[#This Row],[ID]],[6]!PAJAK[ID],0))</f>
        <v/>
      </c>
      <c r="I46" s="4" t="str">
        <f ca="1">INDEX([6]!PAJAK[SUPPLIER],MATCH(Table1[[#This Row],[ID]],[6]!PAJAK[ID],0))</f>
        <v/>
      </c>
      <c r="J46" s="5" t="str">
        <f ca="1">IFERROR(INDEX(INDIRECT("NOTA_.xlsx!"&amp;Table1[[#This Row],[1_h]]&amp;"[sub total]"),MATCH(Table1[[#This Row],[ID]],INDIRECT("NOTA_.xlsx!"&amp;Table1[[#This Row],[1_h]]&amp;"[ID]"),0)),"")</f>
        <v/>
      </c>
      <c r="K46" s="5" t="str">
        <f ca="1">IFERROR(INDEX(INDIRECT("NOTA_.xlsx!"&amp;Table1[[#This Row],[1_h]]&amp;"[diskon]"),MATCH(Table1[[#This Row],[ID]],INDIRECT("NOTA_.xlsx!"&amp;Table1[[#This Row],[1_h]]&amp;"[ID]"),0)),"")</f>
        <v/>
      </c>
      <c r="L46" s="5" t="str">
        <f ca="1">IFERROR(INDEX(INDIRECT("NOTA_.xlsx!"&amp;Table1[[#This Row],[1_h]]&amp;"[Dpp]"),MATCH(Table1[[#This Row],[ID]],INDIRECT("NOTA_.xlsx!"&amp;Table1[[#This Row],[1_h]]&amp;"[ID]"),0)),"")</f>
        <v/>
      </c>
      <c r="M46" s="5" t="str">
        <f ca="1">IFERROR(INDEX(INDIRECT("NOTA_.xlsx!"&amp;Table1[[#This Row],[1_h]]&amp;"[ppn (11%)]"),MATCH(Table1[[#This Row],[ID]],INDIRECT("NOTA_.xlsx!"&amp;Table1[[#This Row],[1_h]]&amp;"[ID]"),0)),"")</f>
        <v/>
      </c>
      <c r="N46" s="5" t="str">
        <f ca="1">IFERROR(INDEX(INDIRECT("NOTA_.xlsx!"&amp;Table1[[#This Row],[1_h]]&amp;"[total]"),MATCH(Table1[[#This Row],[ID]],INDIRECT("NOTA_.xlsx!"&amp;Table1[[#This Row],[1_h]]&amp;"[ID]"),0)),"")</f>
        <v/>
      </c>
      <c r="O46" s="59" t="str">
        <f ca="1">IF(Table1[[#This Row],[NAMA SUPPLIER]]="","",INDEX(conv1[2],MATCH(Table1[[#This Row],[NAMA SUPPLIER]],conv1[1],0)))</f>
        <v/>
      </c>
      <c r="P46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47" spans="1:16" x14ac:dyDescent="0.25">
      <c r="A47" s="6">
        <f ca="1">IF(Table1[[#This Row],[NAMA SUPPLIER]]="","",MATCH(Table1[[#This Row],[N_ID]],INDIRECT(Table1[[#This Row],[1_h]]&amp;"[N_ID]"),0))</f>
        <v>1</v>
      </c>
      <c r="B47" s="65" t="s">
        <v>51</v>
      </c>
      <c r="C47" s="6">
        <f ca="1">_xlfn.IFNA(INDEX([6]!PAJAK[ID],MATCH(Table1[[#This Row],[N_ID]],[6]!PAJAK[ID_P],0)),"")</f>
        <v>2</v>
      </c>
      <c r="D47" s="6">
        <f ca="1">IF(Table1[[#This Row],[ID]]="","",INDEX([6]!PAJAK[QB],MATCH(Table1[[#This Row],[ID]],[6]!PAJAK[ID],0)))</f>
        <v>1</v>
      </c>
      <c r="E47" s="3">
        <f ca="1">INDEX([6]!PAJAK[TGL.MASUK],MATCH(Table1[[#This Row],[ID]],[6]!PAJAK[ID],0))</f>
        <v>44743</v>
      </c>
      <c r="F47" s="3">
        <f ca="1">INDEX([6]!PAJAK[TGL.NOTA],MATCH(Table1[[#This Row],[ID]],[6]!PAJAK[ID],0))</f>
        <v>44743</v>
      </c>
      <c r="G47" s="6" t="str">
        <f ca="1">INDEX([6]!PAJAK[NO.NOTA],MATCH(Table1[[#This Row],[ID]],[6]!PAJAK[ID],0))</f>
        <v>22070019</v>
      </c>
      <c r="I47" s="4" t="str">
        <f ca="1">INDEX([6]!PAJAK[SUPPLIER],MATCH(Table1[[#This Row],[ID]],[6]!PAJAK[ID],0))</f>
        <v>PT KENKO SINAR INDONESIA</v>
      </c>
      <c r="J47" s="5">
        <f ca="1">IFERROR(INDEX(INDIRECT("NOTA_.xlsx!"&amp;Table1[[#This Row],[1_h]]&amp;"[sub total]"),MATCH(Table1[[#This Row],[ID]],INDIRECT("NOTA_.xlsx!"&amp;Table1[[#This Row],[1_h]]&amp;"[ID]"),0)),"")</f>
        <v>5760000</v>
      </c>
      <c r="K47" s="5">
        <f ca="1">IFERROR(INDEX(INDIRECT("NOTA_.xlsx!"&amp;Table1[[#This Row],[1_h]]&amp;"[diskon]"),MATCH(Table1[[#This Row],[ID]],INDIRECT("NOTA_.xlsx!"&amp;Table1[[#This Row],[1_h]]&amp;"[ID]"),0)),"")</f>
        <v>979200.00000000012</v>
      </c>
      <c r="L47" s="5">
        <f ca="1">IFERROR(INDEX(INDIRECT("NOTA_.xlsx!"&amp;Table1[[#This Row],[1_h]]&amp;"[Dpp]"),MATCH(Table1[[#This Row],[ID]],INDIRECT("NOTA_.xlsx!"&amp;Table1[[#This Row],[1_h]]&amp;"[ID]"),0)),"")</f>
        <v>4307027.0270270268</v>
      </c>
      <c r="M47" s="5">
        <f ca="1">IFERROR(INDEX(INDIRECT("NOTA_.xlsx!"&amp;Table1[[#This Row],[1_h]]&amp;"[ppn (11%)]"),MATCH(Table1[[#This Row],[ID]],INDIRECT("NOTA_.xlsx!"&amp;Table1[[#This Row],[1_h]]&amp;"[ID]"),0)),"")</f>
        <v>473772.97297297296</v>
      </c>
      <c r="N47" s="5">
        <f ca="1">IFERROR(INDEX(INDIRECT("NOTA_.xlsx!"&amp;Table1[[#This Row],[1_h]]&amp;"[total]"),MATCH(Table1[[#This Row],[ID]],INDIRECT("NOTA_.xlsx!"&amp;Table1[[#This Row],[1_h]]&amp;"[ID]"),0)),"")</f>
        <v>4780800</v>
      </c>
      <c r="O47" s="59" t="str">
        <f ca="1">IF(Table1[[#This Row],[NAMA SUPPLIER]]="","",INDEX(conv1[2],MATCH(Table1[[#This Row],[NAMA SUPPLIER]],conv1[1],0)))</f>
        <v>KENKO</v>
      </c>
      <c r="P47" s="4">
        <f ca="1">IF(Table1[[#This Row],[NO. INVOICE]]="","",_xlfn.IFNA(MATCH(Table1[[#This Row],[NO. INVOICE]],'[3]REKAP PEMBELIAN'!$C:$C,0),MATCH(VALUE(Table1[[#This Row],[NO. INVOICE]]),'[3]REKAP PEMBELIAN'!$C:$C,0)))</f>
        <v>416</v>
      </c>
    </row>
    <row r="48" spans="1:16" x14ac:dyDescent="0.25">
      <c r="A48" s="6">
        <f ca="1">IF(Table1[[#This Row],[NAMA SUPPLIER]]="","",MATCH(Table1[[#This Row],[N_ID]],INDIRECT(Table1[[#This Row],[1_h]]&amp;"[N_ID]"),0))</f>
        <v>3</v>
      </c>
      <c r="B48" s="65" t="s">
        <v>19</v>
      </c>
      <c r="C48" s="6">
        <f ca="1">_xlfn.IFNA(INDEX([6]!PAJAK[ID],MATCH(Table1[[#This Row],[N_ID]],[6]!PAJAK[ID_P],0)),"")</f>
        <v>13</v>
      </c>
      <c r="D48" s="6">
        <f ca="1">IF(Table1[[#This Row],[ID]]="","",INDEX([6]!PAJAK[QB],MATCH(Table1[[#This Row],[ID]],[6]!PAJAK[ID],0)))</f>
        <v>3</v>
      </c>
      <c r="E48" s="3">
        <f ca="1">INDEX([6]!PAJAK[TGL.MASUK],MATCH(Table1[[#This Row],[ID]],[6]!PAJAK[ID],0))</f>
        <v>44744</v>
      </c>
      <c r="F48" s="3">
        <f ca="1">INDEX([6]!PAJAK[TGL.NOTA],MATCH(Table1[[#This Row],[ID]],[6]!PAJAK[ID],0))</f>
        <v>44743</v>
      </c>
      <c r="G48" s="6" t="str">
        <f ca="1">INDEX([6]!PAJAK[NO.NOTA],MATCH(Table1[[#This Row],[ID]],[6]!PAJAK[ID],0))</f>
        <v>22070026</v>
      </c>
      <c r="I48" s="4" t="str">
        <f ca="1">INDEX([6]!PAJAK[SUPPLIER],MATCH(Table1[[#This Row],[ID]],[6]!PAJAK[ID],0))</f>
        <v>PT KENKO SINAR INDONESIA</v>
      </c>
      <c r="J48" s="5">
        <f ca="1">IFERROR(INDEX(INDIRECT("NOTA_.xlsx!"&amp;Table1[[#This Row],[1_h]]&amp;"[sub total]"),MATCH(Table1[[#This Row],[ID]],INDIRECT("NOTA_.xlsx!"&amp;Table1[[#This Row],[1_h]]&amp;"[ID]"),0)),"")</f>
        <v>28684800</v>
      </c>
      <c r="K48" s="5">
        <f ca="1">IFERROR(INDEX(INDIRECT("NOTA_.xlsx!"&amp;Table1[[#This Row],[1_h]]&amp;"[diskon]"),MATCH(Table1[[#This Row],[ID]],INDIRECT("NOTA_.xlsx!"&amp;Table1[[#This Row],[1_h]]&amp;"[ID]"),0)),"")</f>
        <v>4876416</v>
      </c>
      <c r="L48" s="5">
        <f ca="1">IFERROR(INDEX(INDIRECT("NOTA_.xlsx!"&amp;Table1[[#This Row],[1_h]]&amp;"[Dpp]"),MATCH(Table1[[#This Row],[ID]],INDIRECT("NOTA_.xlsx!"&amp;Table1[[#This Row],[1_h]]&amp;"[ID]"),0)),"")</f>
        <v>21448994.594594594</v>
      </c>
      <c r="M48" s="5">
        <f ca="1">IFERROR(INDEX(INDIRECT("NOTA_.xlsx!"&amp;Table1[[#This Row],[1_h]]&amp;"[ppn (11%)]"),MATCH(Table1[[#This Row],[ID]],INDIRECT("NOTA_.xlsx!"&amp;Table1[[#This Row],[1_h]]&amp;"[ID]"),0)),"")</f>
        <v>2359389.4054054054</v>
      </c>
      <c r="N48" s="5">
        <f ca="1">IFERROR(INDEX(INDIRECT("NOTA_.xlsx!"&amp;Table1[[#This Row],[1_h]]&amp;"[total]"),MATCH(Table1[[#This Row],[ID]],INDIRECT("NOTA_.xlsx!"&amp;Table1[[#This Row],[1_h]]&amp;"[ID]"),0)),"")</f>
        <v>23808384</v>
      </c>
      <c r="O48" s="59" t="str">
        <f ca="1">IF(Table1[[#This Row],[NAMA SUPPLIER]]="","",INDEX(conv1[2],MATCH(Table1[[#This Row],[NAMA SUPPLIER]],conv1[1],0)))</f>
        <v>KENKO</v>
      </c>
      <c r="P48" s="4">
        <f ca="1">IF(Table1[[#This Row],[NO. INVOICE]]="","",_xlfn.IFNA(MATCH(Table1[[#This Row],[NO. INVOICE]],'[3]REKAP PEMBELIAN'!$C:$C,0),MATCH(VALUE(Table1[[#This Row],[NO. INVOICE]]),'[3]REKAP PEMBELIAN'!$C:$C,0)))</f>
        <v>417</v>
      </c>
    </row>
    <row r="49" spans="1:16" x14ac:dyDescent="0.25">
      <c r="A49" s="6">
        <f ca="1">IF(Table1[[#This Row],[NAMA SUPPLIER]]="","",MATCH(Table1[[#This Row],[N_ID]],INDIRECT(Table1[[#This Row],[1_h]]&amp;"[N_ID]"),0))</f>
        <v>7</v>
      </c>
      <c r="B49" s="65" t="s">
        <v>20</v>
      </c>
      <c r="C49" s="6">
        <f ca="1">_xlfn.IFNA(INDEX([6]!PAJAK[ID],MATCH(Table1[[#This Row],[N_ID]],[6]!PAJAK[ID_P],0)),"")</f>
        <v>14</v>
      </c>
      <c r="D49" s="6">
        <f ca="1">IF(Table1[[#This Row],[ID]]="","",INDEX([6]!PAJAK[QB],MATCH(Table1[[#This Row],[ID]],[6]!PAJAK[ID],0)))</f>
        <v>3</v>
      </c>
      <c r="E49" s="3">
        <f ca="1">INDEX([6]!PAJAK[TGL.MASUK],MATCH(Table1[[#This Row],[ID]],[6]!PAJAK[ID],0))</f>
        <v>44744</v>
      </c>
      <c r="F49" s="3">
        <f ca="1">INDEX([6]!PAJAK[TGL.NOTA],MATCH(Table1[[#This Row],[ID]],[6]!PAJAK[ID],0))</f>
        <v>44743</v>
      </c>
      <c r="G49" s="6" t="str">
        <f ca="1">INDEX([6]!PAJAK[NO.NOTA],MATCH(Table1[[#This Row],[ID]],[6]!PAJAK[ID],0))</f>
        <v>22070056</v>
      </c>
      <c r="I49" s="4" t="str">
        <f ca="1">INDEX([6]!PAJAK[SUPPLIER],MATCH(Table1[[#This Row],[ID]],[6]!PAJAK[ID],0))</f>
        <v>PT KENKO SINAR INDONESIA</v>
      </c>
      <c r="J49" s="5">
        <f ca="1">IFERROR(INDEX(INDIRECT("NOTA_.xlsx!"&amp;Table1[[#This Row],[1_h]]&amp;"[sub total]"),MATCH(Table1[[#This Row],[ID]],INDIRECT("NOTA_.xlsx!"&amp;Table1[[#This Row],[1_h]]&amp;"[ID]"),0)),"")</f>
        <v>40003200</v>
      </c>
      <c r="K49" s="5">
        <f ca="1">IFERROR(INDEX(INDIRECT("NOTA_.xlsx!"&amp;Table1[[#This Row],[1_h]]&amp;"[diskon]"),MATCH(Table1[[#This Row],[ID]],INDIRECT("NOTA_.xlsx!"&amp;Table1[[#This Row],[1_h]]&amp;"[ID]"),0)),"")</f>
        <v>6800544</v>
      </c>
      <c r="L49" s="5">
        <f ca="1">IFERROR(INDEX(INDIRECT("NOTA_.xlsx!"&amp;Table1[[#This Row],[1_h]]&amp;"[Dpp]"),MATCH(Table1[[#This Row],[ID]],INDIRECT("NOTA_.xlsx!"&amp;Table1[[#This Row],[1_h]]&amp;"[ID]"),0)),"")</f>
        <v>29912302.702702701</v>
      </c>
      <c r="M49" s="5">
        <f ca="1">IFERROR(INDEX(INDIRECT("NOTA_.xlsx!"&amp;Table1[[#This Row],[1_h]]&amp;"[ppn (11%)]"),MATCH(Table1[[#This Row],[ID]],INDIRECT("NOTA_.xlsx!"&amp;Table1[[#This Row],[1_h]]&amp;"[ID]"),0)),"")</f>
        <v>3290353.297297297</v>
      </c>
      <c r="N49" s="5">
        <f ca="1">IFERROR(INDEX(INDIRECT("NOTA_.xlsx!"&amp;Table1[[#This Row],[1_h]]&amp;"[total]"),MATCH(Table1[[#This Row],[ID]],INDIRECT("NOTA_.xlsx!"&amp;Table1[[#This Row],[1_h]]&amp;"[ID]"),0)),"")</f>
        <v>33202656</v>
      </c>
      <c r="O49" s="59" t="str">
        <f ca="1">IF(Table1[[#This Row],[NAMA SUPPLIER]]="","",INDEX(conv1[2],MATCH(Table1[[#This Row],[NAMA SUPPLIER]],conv1[1],0)))</f>
        <v>KENKO</v>
      </c>
      <c r="P49" s="4">
        <f ca="1">IF(Table1[[#This Row],[NO. INVOICE]]="","",_xlfn.IFNA(MATCH(Table1[[#This Row],[NO. INVOICE]],'[3]REKAP PEMBELIAN'!$C:$C,0),MATCH(VALUE(Table1[[#This Row],[NO. INVOICE]]),'[3]REKAP PEMBELIAN'!$C:$C,0)))</f>
        <v>418</v>
      </c>
    </row>
    <row r="50" spans="1:16" x14ac:dyDescent="0.25">
      <c r="A50" s="6">
        <f ca="1">IF(Table1[[#This Row],[NAMA SUPPLIER]]="","",MATCH(Table1[[#This Row],[N_ID]],INDIRECT(Table1[[#This Row],[1_h]]&amp;"[N_ID]"),0))</f>
        <v>11</v>
      </c>
      <c r="B50" s="65" t="s">
        <v>21</v>
      </c>
      <c r="C50" s="6">
        <f ca="1">_xlfn.IFNA(INDEX([6]!PAJAK[ID],MATCH(Table1[[#This Row],[N_ID]],[6]!PAJAK[ID_P],0)),"")</f>
        <v>27</v>
      </c>
      <c r="D50" s="6">
        <f ca="1">IF(Table1[[#This Row],[ID]]="","",INDEX([6]!PAJAK[QB],MATCH(Table1[[#This Row],[ID]],[6]!PAJAK[ID],0)))</f>
        <v>4</v>
      </c>
      <c r="E50" s="3">
        <f ca="1">INDEX([6]!PAJAK[TGL.MASUK],MATCH(Table1[[#This Row],[ID]],[6]!PAJAK[ID],0))</f>
        <v>44748</v>
      </c>
      <c r="F50" s="3">
        <f ca="1">INDEX([6]!PAJAK[TGL.NOTA],MATCH(Table1[[#This Row],[ID]],[6]!PAJAK[ID],0))</f>
        <v>44744</v>
      </c>
      <c r="G50" s="6" t="str">
        <f ca="1">INDEX([6]!PAJAK[NO.NOTA],MATCH(Table1[[#This Row],[ID]],[6]!PAJAK[ID],0))</f>
        <v>22070177</v>
      </c>
      <c r="I50" s="4" t="str">
        <f ca="1">INDEX([6]!PAJAK[SUPPLIER],MATCH(Table1[[#This Row],[ID]],[6]!PAJAK[ID],0))</f>
        <v>PT KENKO SINAR INDONESIA</v>
      </c>
      <c r="J50" s="5">
        <f ca="1">IFERROR(INDEX(INDIRECT("NOTA_.xlsx!"&amp;Table1[[#This Row],[1_h]]&amp;"[sub total]"),MATCH(Table1[[#This Row],[ID]],INDIRECT("NOTA_.xlsx!"&amp;Table1[[#This Row],[1_h]]&amp;"[ID]"),0)),"")</f>
        <v>24600000</v>
      </c>
      <c r="K50" s="5">
        <f ca="1">IFERROR(INDEX(INDIRECT("NOTA_.xlsx!"&amp;Table1[[#This Row],[1_h]]&amp;"[diskon]"),MATCH(Table1[[#This Row],[ID]],INDIRECT("NOTA_.xlsx!"&amp;Table1[[#This Row],[1_h]]&amp;"[ID]"),0)),"")</f>
        <v>4182000</v>
      </c>
      <c r="L50" s="5">
        <f ca="1">IFERROR(INDEX(INDIRECT("NOTA_.xlsx!"&amp;Table1[[#This Row],[1_h]]&amp;"[Dpp]"),MATCH(Table1[[#This Row],[ID]],INDIRECT("NOTA_.xlsx!"&amp;Table1[[#This Row],[1_h]]&amp;"[ID]"),0)),"")</f>
        <v>18394594.594594594</v>
      </c>
      <c r="M50" s="5">
        <f ca="1">IFERROR(INDEX(INDIRECT("NOTA_.xlsx!"&amp;Table1[[#This Row],[1_h]]&amp;"[ppn (11%)]"),MATCH(Table1[[#This Row],[ID]],INDIRECT("NOTA_.xlsx!"&amp;Table1[[#This Row],[1_h]]&amp;"[ID]"),0)),"")</f>
        <v>2023405.4054054054</v>
      </c>
      <c r="N50" s="5">
        <f ca="1">IFERROR(INDEX(INDIRECT("NOTA_.xlsx!"&amp;Table1[[#This Row],[1_h]]&amp;"[total]"),MATCH(Table1[[#This Row],[ID]],INDIRECT("NOTA_.xlsx!"&amp;Table1[[#This Row],[1_h]]&amp;"[ID]"),0)),"")</f>
        <v>20418000</v>
      </c>
      <c r="O50" s="59" t="str">
        <f ca="1">IF(Table1[[#This Row],[NAMA SUPPLIER]]="","",INDEX(conv1[2],MATCH(Table1[[#This Row],[NAMA SUPPLIER]],conv1[1],0)))</f>
        <v>KENKO</v>
      </c>
      <c r="P50" s="4">
        <f ca="1">IF(Table1[[#This Row],[NO. INVOICE]]="","",_xlfn.IFNA(MATCH(Table1[[#This Row],[NO. INVOICE]],'[3]REKAP PEMBELIAN'!$C:$C,0),MATCH(VALUE(Table1[[#This Row],[NO. INVOICE]]),'[3]REKAP PEMBELIAN'!$C:$C,0)))</f>
        <v>419</v>
      </c>
    </row>
    <row r="51" spans="1:16" x14ac:dyDescent="0.25">
      <c r="A51" s="6">
        <f ca="1">IF(Table1[[#This Row],[NAMA SUPPLIER]]="","",MATCH(Table1[[#This Row],[N_ID]],INDIRECT(Table1[[#This Row],[1_h]]&amp;"[N_ID]"),0))</f>
        <v>16</v>
      </c>
      <c r="B51" s="65" t="s">
        <v>22</v>
      </c>
      <c r="C51" s="6">
        <f ca="1">_xlfn.IFNA(INDEX([6]!PAJAK[ID],MATCH(Table1[[#This Row],[N_ID]],[6]!PAJAK[ID_P],0)),"")</f>
        <v>40</v>
      </c>
      <c r="D51" s="6">
        <f ca="1">IF(Table1[[#This Row],[ID]]="","",INDEX([6]!PAJAK[QB],MATCH(Table1[[#This Row],[ID]],[6]!PAJAK[ID],0)))</f>
        <v>4</v>
      </c>
      <c r="E51" s="3">
        <f ca="1">INDEX([6]!PAJAK[TGL.MASUK],MATCH(Table1[[#This Row],[ID]],[6]!PAJAK[ID],0))</f>
        <v>44749</v>
      </c>
      <c r="F51" s="3">
        <f ca="1">INDEX([6]!PAJAK[TGL.NOTA],MATCH(Table1[[#This Row],[ID]],[6]!PAJAK[ID],0))</f>
        <v>44746</v>
      </c>
      <c r="G51" s="6">
        <f ca="1">INDEX([6]!PAJAK[NO.NOTA],MATCH(Table1[[#This Row],[ID]],[6]!PAJAK[ID],0))</f>
        <v>22070238</v>
      </c>
      <c r="I51" s="4" t="str">
        <f ca="1">INDEX([6]!PAJAK[SUPPLIER],MATCH(Table1[[#This Row],[ID]],[6]!PAJAK[ID],0))</f>
        <v>PT KENKO SINAR INDONESIA</v>
      </c>
      <c r="J51" s="5">
        <f ca="1">IFERROR(INDEX(INDIRECT("NOTA_.xlsx!"&amp;Table1[[#This Row],[1_h]]&amp;"[sub total]"),MATCH(Table1[[#This Row],[ID]],INDIRECT("NOTA_.xlsx!"&amp;Table1[[#This Row],[1_h]]&amp;"[ID]"),0)),"")</f>
        <v>40262400</v>
      </c>
      <c r="K51" s="5">
        <f ca="1">IFERROR(INDEX(INDIRECT("NOTA_.xlsx!"&amp;Table1[[#This Row],[1_h]]&amp;"[diskon]"),MATCH(Table1[[#This Row],[ID]],INDIRECT("NOTA_.xlsx!"&amp;Table1[[#This Row],[1_h]]&amp;"[ID]"),0)),"")</f>
        <v>6844608</v>
      </c>
      <c r="L51" s="5">
        <f ca="1">IFERROR(INDEX(INDIRECT("NOTA_.xlsx!"&amp;Table1[[#This Row],[1_h]]&amp;"[Dpp]"),MATCH(Table1[[#This Row],[ID]],INDIRECT("NOTA_.xlsx!"&amp;Table1[[#This Row],[1_h]]&amp;"[ID]"),0)),"")</f>
        <v>30106118.918918915</v>
      </c>
      <c r="M51" s="5">
        <f ca="1">IFERROR(INDEX(INDIRECT("NOTA_.xlsx!"&amp;Table1[[#This Row],[1_h]]&amp;"[ppn (11%)]"),MATCH(Table1[[#This Row],[ID]],INDIRECT("NOTA_.xlsx!"&amp;Table1[[#This Row],[1_h]]&amp;"[ID]"),0)),"")</f>
        <v>3311673.0810810807</v>
      </c>
      <c r="N51" s="5">
        <f ca="1">IFERROR(INDEX(INDIRECT("NOTA_.xlsx!"&amp;Table1[[#This Row],[1_h]]&amp;"[total]"),MATCH(Table1[[#This Row],[ID]],INDIRECT("NOTA_.xlsx!"&amp;Table1[[#This Row],[1_h]]&amp;"[ID]"),0)),"")</f>
        <v>33417791.999999996</v>
      </c>
      <c r="O51" s="59" t="str">
        <f ca="1">IF(Table1[[#This Row],[NAMA SUPPLIER]]="","",INDEX(conv1[2],MATCH(Table1[[#This Row],[NAMA SUPPLIER]],conv1[1],0)))</f>
        <v>KENKO</v>
      </c>
      <c r="P51" s="4">
        <f ca="1">IF(Table1[[#This Row],[NO. INVOICE]]="","",_xlfn.IFNA(MATCH(Table1[[#This Row],[NO. INVOICE]],'[3]REKAP PEMBELIAN'!$C:$C,0),MATCH(VALUE(Table1[[#This Row],[NO. INVOICE]]),'[3]REKAP PEMBELIAN'!$C:$C,0)))</f>
        <v>420</v>
      </c>
    </row>
    <row r="52" spans="1:16" x14ac:dyDescent="0.25">
      <c r="A52" s="6">
        <f ca="1">IF(Table1[[#This Row],[NAMA SUPPLIER]]="","",MATCH(Table1[[#This Row],[N_ID]],INDIRECT(Table1[[#This Row],[1_h]]&amp;"[N_ID]"),0))</f>
        <v>21</v>
      </c>
      <c r="B52" s="2" t="s">
        <v>23</v>
      </c>
      <c r="C52" s="6">
        <f ca="1">_xlfn.IFNA(INDEX([6]!PAJAK[ID],MATCH(Table1[[#This Row],[N_ID]],[6]!PAJAK[ID_P],0)),"")</f>
        <v>39</v>
      </c>
      <c r="D52" s="6">
        <f ca="1">IF(Table1[[#This Row],[ID]]="","",INDEX([6]!PAJAK[QB],MATCH(Table1[[#This Row],[ID]],[6]!PAJAK[ID],0)))</f>
        <v>7</v>
      </c>
      <c r="E52" s="3">
        <f ca="1">INDEX([6]!PAJAK[TGL.MASUK],MATCH(Table1[[#This Row],[ID]],[6]!PAJAK[ID],0))</f>
        <v>44749</v>
      </c>
      <c r="F52" s="3">
        <f ca="1">INDEX([6]!PAJAK[TGL.NOTA],MATCH(Table1[[#This Row],[ID]],[6]!PAJAK[ID],0))</f>
        <v>44747</v>
      </c>
      <c r="G52" s="6">
        <f ca="1">INDEX([6]!PAJAK[NO.NOTA],MATCH(Table1[[#This Row],[ID]],[6]!PAJAK[ID],0))</f>
        <v>22070298</v>
      </c>
      <c r="I52" s="4" t="str">
        <f ca="1">INDEX([6]!PAJAK[SUPPLIER],MATCH(Table1[[#This Row],[ID]],[6]!PAJAK[ID],0))</f>
        <v>PT KENKO SINAR INDONESIA</v>
      </c>
      <c r="J52" s="5">
        <f ca="1">IFERROR(INDEX(INDIRECT("NOTA_.xlsx!"&amp;Table1[[#This Row],[1_h]]&amp;"[sub total]"),MATCH(Table1[[#This Row],[ID]],INDIRECT("NOTA_.xlsx!"&amp;Table1[[#This Row],[1_h]]&amp;"[ID]"),0)),"")</f>
        <v>115588800</v>
      </c>
      <c r="K52" s="5">
        <f ca="1">IFERROR(INDEX(INDIRECT("NOTA_.xlsx!"&amp;Table1[[#This Row],[1_h]]&amp;"[diskon]"),MATCH(Table1[[#This Row],[ID]],INDIRECT("NOTA_.xlsx!"&amp;Table1[[#This Row],[1_h]]&amp;"[ID]"),0)),"")</f>
        <v>19650096</v>
      </c>
      <c r="L52" s="5">
        <f ca="1">IFERROR(INDEX(INDIRECT("NOTA_.xlsx!"&amp;Table1[[#This Row],[1_h]]&amp;"[Dpp]"),MATCH(Table1[[#This Row],[ID]],INDIRECT("NOTA_.xlsx!"&amp;Table1[[#This Row],[1_h]]&amp;"[ID]"),0)),"")</f>
        <v>86431264.864864856</v>
      </c>
      <c r="M52" s="5">
        <f ca="1">IFERROR(INDEX(INDIRECT("NOTA_.xlsx!"&amp;Table1[[#This Row],[1_h]]&amp;"[ppn (11%)]"),MATCH(Table1[[#This Row],[ID]],INDIRECT("NOTA_.xlsx!"&amp;Table1[[#This Row],[1_h]]&amp;"[ID]"),0)),"")</f>
        <v>9507439.1351351347</v>
      </c>
      <c r="N52" s="5">
        <f ca="1">IFERROR(INDEX(INDIRECT("NOTA_.xlsx!"&amp;Table1[[#This Row],[1_h]]&amp;"[total]"),MATCH(Table1[[#This Row],[ID]],INDIRECT("NOTA_.xlsx!"&amp;Table1[[#This Row],[1_h]]&amp;"[ID]"),0)),"")</f>
        <v>95938703.999999985</v>
      </c>
      <c r="O52" s="59" t="str">
        <f ca="1">IF(Table1[[#This Row],[NAMA SUPPLIER]]="","",INDEX(conv1[2],MATCH(Table1[[#This Row],[NAMA SUPPLIER]],conv1[1],0)))</f>
        <v>KENKO</v>
      </c>
      <c r="P52" s="4">
        <f ca="1">IF(Table1[[#This Row],[NO. INVOICE]]="","",_xlfn.IFNA(MATCH(Table1[[#This Row],[NO. INVOICE]],'[3]REKAP PEMBELIAN'!$C:$C,0),MATCH(VALUE(Table1[[#This Row],[NO. INVOICE]]),'[3]REKAP PEMBELIAN'!$C:$C,0)))</f>
        <v>421</v>
      </c>
    </row>
    <row r="53" spans="1:16" x14ac:dyDescent="0.25">
      <c r="A53" s="6">
        <f ca="1">IF(Table1[[#This Row],[NAMA SUPPLIER]]="","",MATCH(Table1[[#This Row],[N_ID]],INDIRECT(Table1[[#This Row],[1_h]]&amp;"[N_ID]"),0))</f>
        <v>29</v>
      </c>
      <c r="B53" s="2" t="s">
        <v>24</v>
      </c>
      <c r="C53" s="6">
        <f ca="1">_xlfn.IFNA(INDEX([6]!PAJAK[ID],MATCH(Table1[[#This Row],[N_ID]],[6]!PAJAK[ID_P],0)),"")</f>
        <v>43</v>
      </c>
      <c r="D53" s="6">
        <f ca="1">IF(Table1[[#This Row],[ID]]="","",INDEX([6]!PAJAK[QB],MATCH(Table1[[#This Row],[ID]],[6]!PAJAK[ID],0)))</f>
        <v>9</v>
      </c>
      <c r="E53" s="3">
        <f ca="1">INDEX([6]!PAJAK[TGL.MASUK],MATCH(Table1[[#This Row],[ID]],[6]!PAJAK[ID],0))</f>
        <v>44750</v>
      </c>
      <c r="F53" s="3">
        <f ca="1">INDEX([6]!PAJAK[TGL.NOTA],MATCH(Table1[[#This Row],[ID]],[6]!PAJAK[ID],0))</f>
        <v>44748</v>
      </c>
      <c r="G53" s="6">
        <f ca="1">INDEX([6]!PAJAK[NO.NOTA],MATCH(Table1[[#This Row],[ID]],[6]!PAJAK[ID],0))</f>
        <v>22070460</v>
      </c>
      <c r="I53" s="4" t="str">
        <f ca="1">INDEX([6]!PAJAK[SUPPLIER],MATCH(Table1[[#This Row],[ID]],[6]!PAJAK[ID],0))</f>
        <v>PT KENKO SINAR INDONESIA</v>
      </c>
      <c r="J53" s="5">
        <f ca="1">IFERROR(INDEX(INDIRECT("NOTA_.xlsx!"&amp;Table1[[#This Row],[1_h]]&amp;"[sub total]"),MATCH(Table1[[#This Row],[ID]],INDIRECT("NOTA_.xlsx!"&amp;Table1[[#This Row],[1_h]]&amp;"[ID]"),0)),"")</f>
        <v>35809200</v>
      </c>
      <c r="K53" s="5">
        <f ca="1">IFERROR(INDEX(INDIRECT("NOTA_.xlsx!"&amp;Table1[[#This Row],[1_h]]&amp;"[diskon]"),MATCH(Table1[[#This Row],[ID]],INDIRECT("NOTA_.xlsx!"&amp;Table1[[#This Row],[1_h]]&amp;"[ID]"),0)),"")</f>
        <v>6087564</v>
      </c>
      <c r="L53" s="5">
        <f ca="1">IFERROR(INDEX(INDIRECT("NOTA_.xlsx!"&amp;Table1[[#This Row],[1_h]]&amp;"[Dpp]"),MATCH(Table1[[#This Row],[ID]],INDIRECT("NOTA_.xlsx!"&amp;Table1[[#This Row],[1_h]]&amp;"[ID]"),0)),"")</f>
        <v>26776248.648648646</v>
      </c>
      <c r="M53" s="5">
        <f ca="1">IFERROR(INDEX(INDIRECT("NOTA_.xlsx!"&amp;Table1[[#This Row],[1_h]]&amp;"[ppn (11%)]"),MATCH(Table1[[#This Row],[ID]],INDIRECT("NOTA_.xlsx!"&amp;Table1[[#This Row],[1_h]]&amp;"[ID]"),0)),"")</f>
        <v>2945387.351351351</v>
      </c>
      <c r="N53" s="5">
        <f ca="1">IFERROR(INDEX(INDIRECT("NOTA_.xlsx!"&amp;Table1[[#This Row],[1_h]]&amp;"[total]"),MATCH(Table1[[#This Row],[ID]],INDIRECT("NOTA_.xlsx!"&amp;Table1[[#This Row],[1_h]]&amp;"[ID]"),0)),"")</f>
        <v>29721635.999999996</v>
      </c>
      <c r="O53" s="59" t="str">
        <f ca="1">IF(Table1[[#This Row],[NAMA SUPPLIER]]="","",INDEX(conv1[2],MATCH(Table1[[#This Row],[NAMA SUPPLIER]],conv1[1],0)))</f>
        <v>KENKO</v>
      </c>
      <c r="P53" s="4">
        <f ca="1">IF(Table1[[#This Row],[NO. INVOICE]]="","",_xlfn.IFNA(MATCH(Table1[[#This Row],[NO. INVOICE]],'[3]REKAP PEMBELIAN'!$C:$C,0),MATCH(VALUE(Table1[[#This Row],[NO. INVOICE]]),'[3]REKAP PEMBELIAN'!$C:$C,0)))</f>
        <v>422</v>
      </c>
    </row>
    <row r="54" spans="1:16" x14ac:dyDescent="0.25">
      <c r="A54" s="6">
        <f ca="1">IF(Table1[[#This Row],[NAMA SUPPLIER]]="","",MATCH(Table1[[#This Row],[N_ID]],INDIRECT(Table1[[#This Row],[1_h]]&amp;"[N_ID]"),0))</f>
        <v>39</v>
      </c>
      <c r="B54" s="2" t="s">
        <v>52</v>
      </c>
      <c r="C54" s="6">
        <f ca="1">_xlfn.IFNA(INDEX([6]!PAJAK[ID],MATCH(Table1[[#This Row],[N_ID]],[6]!PAJAK[ID_P],0)),"")</f>
        <v>44</v>
      </c>
      <c r="D54" s="6">
        <f ca="1">IF(Table1[[#This Row],[ID]]="","",INDEX([6]!PAJAK[QB],MATCH(Table1[[#This Row],[ID]],[6]!PAJAK[ID],0)))</f>
        <v>6</v>
      </c>
      <c r="E54" s="3">
        <f ca="1">INDEX([6]!PAJAK[TGL.MASUK],MATCH(Table1[[#This Row],[ID]],[6]!PAJAK[ID],0))</f>
        <v>44753</v>
      </c>
      <c r="F54" s="3">
        <f ca="1">INDEX([6]!PAJAK[TGL.NOTA],MATCH(Table1[[#This Row],[ID]],[6]!PAJAK[ID],0))</f>
        <v>44749</v>
      </c>
      <c r="G54" s="6">
        <f ca="1">INDEX([6]!PAJAK[NO.NOTA],MATCH(Table1[[#This Row],[ID]],[6]!PAJAK[ID],0))</f>
        <v>22070585</v>
      </c>
      <c r="I54" s="4" t="str">
        <f ca="1">INDEX([6]!PAJAK[SUPPLIER],MATCH(Table1[[#This Row],[ID]],[6]!PAJAK[ID],0))</f>
        <v>PT KENKO SINAR INDONESIA</v>
      </c>
      <c r="J54" s="5">
        <f ca="1">IFERROR(INDEX(INDIRECT("NOTA_.xlsx!"&amp;Table1[[#This Row],[1_h]]&amp;"[sub total]"),MATCH(Table1[[#This Row],[ID]],INDIRECT("NOTA_.xlsx!"&amp;Table1[[#This Row],[1_h]]&amp;"[ID]"),0)),"")</f>
        <v>31707600</v>
      </c>
      <c r="K54" s="5">
        <f ca="1">IFERROR(INDEX(INDIRECT("NOTA_.xlsx!"&amp;Table1[[#This Row],[1_h]]&amp;"[diskon]"),MATCH(Table1[[#This Row],[ID]],INDIRECT("NOTA_.xlsx!"&amp;Table1[[#This Row],[1_h]]&amp;"[ID]"),0)),"")</f>
        <v>5390292</v>
      </c>
      <c r="L54" s="5">
        <f ca="1">IFERROR(INDEX(INDIRECT("NOTA_.xlsx!"&amp;Table1[[#This Row],[1_h]]&amp;"[Dpp]"),MATCH(Table1[[#This Row],[ID]],INDIRECT("NOTA_.xlsx!"&amp;Table1[[#This Row],[1_h]]&amp;"[ID]"),0)),"")</f>
        <v>23709286.486486483</v>
      </c>
      <c r="M54" s="5">
        <f ca="1">IFERROR(INDEX(INDIRECT("NOTA_.xlsx!"&amp;Table1[[#This Row],[1_h]]&amp;"[ppn (11%)]"),MATCH(Table1[[#This Row],[ID]],INDIRECT("NOTA_.xlsx!"&amp;Table1[[#This Row],[1_h]]&amp;"[ID]"),0)),"")</f>
        <v>2608021.5135135134</v>
      </c>
      <c r="N54" s="5">
        <f ca="1">IFERROR(INDEX(INDIRECT("NOTA_.xlsx!"&amp;Table1[[#This Row],[1_h]]&amp;"[total]"),MATCH(Table1[[#This Row],[ID]],INDIRECT("NOTA_.xlsx!"&amp;Table1[[#This Row],[1_h]]&amp;"[ID]"),0)),"")</f>
        <v>26317307.999999996</v>
      </c>
      <c r="O54" s="59" t="str">
        <f ca="1">IF(Table1[[#This Row],[NAMA SUPPLIER]]="","",INDEX(conv1[2],MATCH(Table1[[#This Row],[NAMA SUPPLIER]],conv1[1],0)))</f>
        <v>KENKO</v>
      </c>
      <c r="P54" s="4">
        <f ca="1">IF(Table1[[#This Row],[NO. INVOICE]]="","",_xlfn.IFNA(MATCH(Table1[[#This Row],[NO. INVOICE]],'[3]REKAP PEMBELIAN'!$C:$C,0),MATCH(VALUE(Table1[[#This Row],[NO. INVOICE]]),'[3]REKAP PEMBELIAN'!$C:$C,0)))</f>
        <v>423</v>
      </c>
    </row>
    <row r="55" spans="1:16" x14ac:dyDescent="0.25">
      <c r="A55" s="6">
        <f ca="1">IF(Table1[[#This Row],[NAMA SUPPLIER]]="","",MATCH(Table1[[#This Row],[N_ID]],INDIRECT(Table1[[#This Row],[1_h]]&amp;"[N_ID]"),0))</f>
        <v>46</v>
      </c>
      <c r="B55" s="2" t="s">
        <v>53</v>
      </c>
      <c r="C55" s="6">
        <f ca="1">_xlfn.IFNA(INDEX([6]!PAJAK[ID],MATCH(Table1[[#This Row],[N_ID]],[6]!PAJAK[ID_P],0)),"")</f>
        <v>45</v>
      </c>
      <c r="D55" s="6">
        <f ca="1">IF(Table1[[#This Row],[ID]]="","",INDEX([6]!PAJAK[QB],MATCH(Table1[[#This Row],[ID]],[6]!PAJAK[ID],0)))</f>
        <v>7</v>
      </c>
      <c r="E55" s="3">
        <f ca="1">INDEX([6]!PAJAK[TGL.MASUK],MATCH(Table1[[#This Row],[ID]],[6]!PAJAK[ID],0))</f>
        <v>44753</v>
      </c>
      <c r="F55" s="3">
        <f ca="1">INDEX([6]!PAJAK[TGL.NOTA],MATCH(Table1[[#This Row],[ID]],[6]!PAJAK[ID],0))</f>
        <v>44749</v>
      </c>
      <c r="G55" s="6">
        <f ca="1">INDEX([6]!PAJAK[NO.NOTA],MATCH(Table1[[#This Row],[ID]],[6]!PAJAK[ID],0))</f>
        <v>22070607</v>
      </c>
      <c r="I55" s="4" t="str">
        <f ca="1">INDEX([6]!PAJAK[SUPPLIER],MATCH(Table1[[#This Row],[ID]],[6]!PAJAK[ID],0))</f>
        <v>PT KENKO SINAR INDONESIA</v>
      </c>
      <c r="J55" s="5">
        <f ca="1">IFERROR(INDEX(INDIRECT("NOTA_.xlsx!"&amp;Table1[[#This Row],[1_h]]&amp;"[sub total]"),MATCH(Table1[[#This Row],[ID]],INDIRECT("NOTA_.xlsx!"&amp;Table1[[#This Row],[1_h]]&amp;"[ID]"),0)),"")</f>
        <v>22771200</v>
      </c>
      <c r="K55" s="5">
        <f ca="1">IFERROR(INDEX(INDIRECT("NOTA_.xlsx!"&amp;Table1[[#This Row],[1_h]]&amp;"[diskon]"),MATCH(Table1[[#This Row],[ID]],INDIRECT("NOTA_.xlsx!"&amp;Table1[[#This Row],[1_h]]&amp;"[ID]"),0)),"")</f>
        <v>3871104</v>
      </c>
      <c r="L55" s="5">
        <f ca="1">IFERROR(INDEX(INDIRECT("NOTA_.xlsx!"&amp;Table1[[#This Row],[1_h]]&amp;"[Dpp]"),MATCH(Table1[[#This Row],[ID]],INDIRECT("NOTA_.xlsx!"&amp;Table1[[#This Row],[1_h]]&amp;"[ID]"),0)),"")</f>
        <v>17027113.513513513</v>
      </c>
      <c r="M55" s="5">
        <f ca="1">IFERROR(INDEX(INDIRECT("NOTA_.xlsx!"&amp;Table1[[#This Row],[1_h]]&amp;"[ppn (11%)]"),MATCH(Table1[[#This Row],[ID]],INDIRECT("NOTA_.xlsx!"&amp;Table1[[#This Row],[1_h]]&amp;"[ID]"),0)),"")</f>
        <v>1872982.4864864864</v>
      </c>
      <c r="N55" s="5">
        <f ca="1">IFERROR(INDEX(INDIRECT("NOTA_.xlsx!"&amp;Table1[[#This Row],[1_h]]&amp;"[total]"),MATCH(Table1[[#This Row],[ID]],INDIRECT("NOTA_.xlsx!"&amp;Table1[[#This Row],[1_h]]&amp;"[ID]"),0)),"")</f>
        <v>18900096</v>
      </c>
      <c r="O55" s="59" t="str">
        <f ca="1">IF(Table1[[#This Row],[NAMA SUPPLIER]]="","",INDEX(conv1[2],MATCH(Table1[[#This Row],[NAMA SUPPLIER]],conv1[1],0)))</f>
        <v>KENKO</v>
      </c>
      <c r="P55" s="4">
        <f ca="1">IF(Table1[[#This Row],[NO. INVOICE]]="","",_xlfn.IFNA(MATCH(Table1[[#This Row],[NO. INVOICE]],'[3]REKAP PEMBELIAN'!$C:$C,0),MATCH(VALUE(Table1[[#This Row],[NO. INVOICE]]),'[3]REKAP PEMBELIAN'!$C:$C,0)))</f>
        <v>424</v>
      </c>
    </row>
    <row r="56" spans="1:16" x14ac:dyDescent="0.25">
      <c r="A56" s="6">
        <f ca="1">IF(Table1[[#This Row],[NAMA SUPPLIER]]="","",MATCH(Table1[[#This Row],[N_ID]],INDIRECT(Table1[[#This Row],[1_h]]&amp;"[N_ID]"),0))</f>
        <v>54</v>
      </c>
      <c r="B56" s="2" t="s">
        <v>54</v>
      </c>
      <c r="C56" s="6">
        <f ca="1">_xlfn.IFNA(INDEX([6]!PAJAK[ID],MATCH(Table1[[#This Row],[N_ID]],[6]!PAJAK[ID_P],0)),"")</f>
        <v>46</v>
      </c>
      <c r="D56" s="6">
        <f ca="1">IF(Table1[[#This Row],[ID]]="","",INDEX([6]!PAJAK[QB],MATCH(Table1[[#This Row],[ID]],[6]!PAJAK[ID],0)))</f>
        <v>7</v>
      </c>
      <c r="E56" s="3">
        <f ca="1">INDEX([6]!PAJAK[TGL.MASUK],MATCH(Table1[[#This Row],[ID]],[6]!PAJAK[ID],0))</f>
        <v>44753</v>
      </c>
      <c r="F56" s="3">
        <f ca="1">INDEX([6]!PAJAK[TGL.NOTA],MATCH(Table1[[#This Row],[ID]],[6]!PAJAK[ID],0))</f>
        <v>44749</v>
      </c>
      <c r="G56" s="6">
        <f ca="1">INDEX([6]!PAJAK[NO.NOTA],MATCH(Table1[[#This Row],[ID]],[6]!PAJAK[ID],0))</f>
        <v>22070613</v>
      </c>
      <c r="I56" s="4" t="str">
        <f ca="1">INDEX([6]!PAJAK[SUPPLIER],MATCH(Table1[[#This Row],[ID]],[6]!PAJAK[ID],0))</f>
        <v>PT KENKO SINAR INDONESIA</v>
      </c>
      <c r="J56" s="5">
        <f ca="1">IFERROR(INDEX(INDIRECT("NOTA_.xlsx!"&amp;Table1[[#This Row],[1_h]]&amp;"[sub total]"),MATCH(Table1[[#This Row],[ID]],INDIRECT("NOTA_.xlsx!"&amp;Table1[[#This Row],[1_h]]&amp;"[ID]"),0)),"")</f>
        <v>24048000</v>
      </c>
      <c r="K56" s="5">
        <f ca="1">IFERROR(INDEX(INDIRECT("NOTA_.xlsx!"&amp;Table1[[#This Row],[1_h]]&amp;"[diskon]"),MATCH(Table1[[#This Row],[ID]],INDIRECT("NOTA_.xlsx!"&amp;Table1[[#This Row],[1_h]]&amp;"[ID]"),0)),"")</f>
        <v>4088160</v>
      </c>
      <c r="L56" s="5">
        <f ca="1">IFERROR(INDEX(INDIRECT("NOTA_.xlsx!"&amp;Table1[[#This Row],[1_h]]&amp;"[Dpp]"),MATCH(Table1[[#This Row],[ID]],INDIRECT("NOTA_.xlsx!"&amp;Table1[[#This Row],[1_h]]&amp;"[ID]"),0)),"")</f>
        <v>17981837.837837838</v>
      </c>
      <c r="M56" s="5">
        <f ca="1">IFERROR(INDEX(INDIRECT("NOTA_.xlsx!"&amp;Table1[[#This Row],[1_h]]&amp;"[ppn (11%)]"),MATCH(Table1[[#This Row],[ID]],INDIRECT("NOTA_.xlsx!"&amp;Table1[[#This Row],[1_h]]&amp;"[ID]"),0)),"")</f>
        <v>1978002.1621621621</v>
      </c>
      <c r="N56" s="5">
        <f ca="1">IFERROR(INDEX(INDIRECT("NOTA_.xlsx!"&amp;Table1[[#This Row],[1_h]]&amp;"[total]"),MATCH(Table1[[#This Row],[ID]],INDIRECT("NOTA_.xlsx!"&amp;Table1[[#This Row],[1_h]]&amp;"[ID]"),0)),"")</f>
        <v>19959840</v>
      </c>
      <c r="O56" s="59" t="str">
        <f ca="1">IF(Table1[[#This Row],[NAMA SUPPLIER]]="","",INDEX(conv1[2],MATCH(Table1[[#This Row],[NAMA SUPPLIER]],conv1[1],0)))</f>
        <v>KENKO</v>
      </c>
      <c r="P56" s="4">
        <f ca="1">IF(Table1[[#This Row],[NO. INVOICE]]="","",_xlfn.IFNA(MATCH(Table1[[#This Row],[NO. INVOICE]],'[3]REKAP PEMBELIAN'!$C:$C,0),MATCH(VALUE(Table1[[#This Row],[NO. INVOICE]]),'[3]REKAP PEMBELIAN'!$C:$C,0)))</f>
        <v>425</v>
      </c>
    </row>
    <row r="57" spans="1:16" x14ac:dyDescent="0.25">
      <c r="A57" s="6">
        <f ca="1">IF(Table1[[#This Row],[NAMA SUPPLIER]]="","",MATCH(Table1[[#This Row],[N_ID]],INDIRECT(Table1[[#This Row],[1_h]]&amp;"[N_ID]"),0))</f>
        <v>62</v>
      </c>
      <c r="B57" s="2" t="s">
        <v>55</v>
      </c>
      <c r="C57" s="6">
        <f ca="1">_xlfn.IFNA(INDEX([6]!PAJAK[ID],MATCH(Table1[[#This Row],[N_ID]],[6]!PAJAK[ID_P],0)),"")</f>
        <v>71</v>
      </c>
      <c r="D57" s="6">
        <f ca="1">IF(Table1[[#This Row],[ID]]="","",INDEX([6]!PAJAK[QB],MATCH(Table1[[#This Row],[ID]],[6]!PAJAK[ID],0)))</f>
        <v>6</v>
      </c>
      <c r="E57" s="3">
        <f ca="1">INDEX([6]!PAJAK[TGL.MASUK],MATCH(Table1[[#This Row],[ID]],[6]!PAJAK[ID],0))</f>
        <v>44756</v>
      </c>
      <c r="F57" s="3">
        <f ca="1">INDEX([6]!PAJAK[TGL.NOTA],MATCH(Table1[[#This Row],[ID]],[6]!PAJAK[ID],0))</f>
        <v>44750</v>
      </c>
      <c r="G57" s="6" t="str">
        <f ca="1">INDEX([6]!PAJAK[NO.NOTA],MATCH(Table1[[#This Row],[ID]],[6]!PAJAK[ID],0))</f>
        <v>22070730</v>
      </c>
      <c r="I57" s="4" t="str">
        <f ca="1">INDEX([6]!PAJAK[SUPPLIER],MATCH(Table1[[#This Row],[ID]],[6]!PAJAK[ID],0))</f>
        <v>PT KENKO SINAR INDONESIA</v>
      </c>
      <c r="J57" s="5">
        <f ca="1">IFERROR(INDEX(INDIRECT("NOTA_.xlsx!"&amp;Table1[[#This Row],[1_h]]&amp;"[sub total]"),MATCH(Table1[[#This Row],[ID]],INDIRECT("NOTA_.xlsx!"&amp;Table1[[#This Row],[1_h]]&amp;"[ID]"),0)),"")</f>
        <v>67109600</v>
      </c>
      <c r="K57" s="5">
        <f ca="1">IFERROR(INDEX(INDIRECT("NOTA_.xlsx!"&amp;Table1[[#This Row],[1_h]]&amp;"[diskon]"),MATCH(Table1[[#This Row],[ID]],INDIRECT("NOTA_.xlsx!"&amp;Table1[[#This Row],[1_h]]&amp;"[ID]"),0)),"")</f>
        <v>11408632</v>
      </c>
      <c r="L57" s="5">
        <f ca="1">IFERROR(INDEX(INDIRECT("NOTA_.xlsx!"&amp;Table1[[#This Row],[1_h]]&amp;"[Dpp]"),MATCH(Table1[[#This Row],[ID]],INDIRECT("NOTA_.xlsx!"&amp;Table1[[#This Row],[1_h]]&amp;"[ID]"),0)),"")</f>
        <v>50181052.252252251</v>
      </c>
      <c r="M57" s="5">
        <f ca="1">IFERROR(INDEX(INDIRECT("NOTA_.xlsx!"&amp;Table1[[#This Row],[1_h]]&amp;"[ppn (11%)]"),MATCH(Table1[[#This Row],[ID]],INDIRECT("NOTA_.xlsx!"&amp;Table1[[#This Row],[1_h]]&amp;"[ID]"),0)),"")</f>
        <v>5519915.7477477472</v>
      </c>
      <c r="N57" s="5">
        <f ca="1">IFERROR(INDEX(INDIRECT("NOTA_.xlsx!"&amp;Table1[[#This Row],[1_h]]&amp;"[total]"),MATCH(Table1[[#This Row],[ID]],INDIRECT("NOTA_.xlsx!"&amp;Table1[[#This Row],[1_h]]&amp;"[ID]"),0)),"")</f>
        <v>55700968</v>
      </c>
      <c r="O57" s="59" t="str">
        <f ca="1">IF(Table1[[#This Row],[NAMA SUPPLIER]]="","",INDEX(conv1[2],MATCH(Table1[[#This Row],[NAMA SUPPLIER]],conv1[1],0)))</f>
        <v>KENKO</v>
      </c>
      <c r="P57" s="4">
        <f ca="1">IF(Table1[[#This Row],[NO. INVOICE]]="","",_xlfn.IFNA(MATCH(Table1[[#This Row],[NO. INVOICE]],'[3]REKAP PEMBELIAN'!$C:$C,0),MATCH(VALUE(Table1[[#This Row],[NO. INVOICE]]),'[3]REKAP PEMBELIAN'!$C:$C,0)))</f>
        <v>426</v>
      </c>
    </row>
    <row r="58" spans="1:16" x14ac:dyDescent="0.25">
      <c r="A58" s="6">
        <f ca="1">IF(Table1[[#This Row],[NAMA SUPPLIER]]="","",MATCH(Table1[[#This Row],[N_ID]],INDIRECT(Table1[[#This Row],[1_h]]&amp;"[N_ID]"),0))</f>
        <v>69</v>
      </c>
      <c r="B58" s="2" t="s">
        <v>56</v>
      </c>
      <c r="C58" s="6">
        <f ca="1">_xlfn.IFNA(INDEX([6]!PAJAK[ID],MATCH(Table1[[#This Row],[N_ID]],[6]!PAJAK[ID_P],0)),"")</f>
        <v>72</v>
      </c>
      <c r="D58" s="6">
        <f ca="1">IF(Table1[[#This Row],[ID]]="","",INDEX([6]!PAJAK[QB],MATCH(Table1[[#This Row],[ID]],[6]!PAJAK[ID],0)))</f>
        <v>1</v>
      </c>
      <c r="E58" s="3">
        <f ca="1">INDEX([6]!PAJAK[TGL.MASUK],MATCH(Table1[[#This Row],[ID]],[6]!PAJAK[ID],0))</f>
        <v>44756</v>
      </c>
      <c r="F58" s="3">
        <f ca="1">INDEX([6]!PAJAK[TGL.NOTA],MATCH(Table1[[#This Row],[ID]],[6]!PAJAK[ID],0))</f>
        <v>44750</v>
      </c>
      <c r="G58" s="6" t="str">
        <f ca="1">INDEX([6]!PAJAK[NO.NOTA],MATCH(Table1[[#This Row],[ID]],[6]!PAJAK[ID],0))</f>
        <v>22070740</v>
      </c>
      <c r="I58" s="4" t="str">
        <f ca="1">INDEX([6]!PAJAK[SUPPLIER],MATCH(Table1[[#This Row],[ID]],[6]!PAJAK[ID],0))</f>
        <v>PT KENKO SINAR INDONESIA</v>
      </c>
      <c r="J58" s="5">
        <f ca="1">IFERROR(INDEX(INDIRECT("NOTA_.xlsx!"&amp;Table1[[#This Row],[1_h]]&amp;"[sub total]"),MATCH(Table1[[#This Row],[ID]],INDIRECT("NOTA_.xlsx!"&amp;Table1[[#This Row],[1_h]]&amp;"[ID]"),0)),"")</f>
        <v>8700000</v>
      </c>
      <c r="K58" s="5">
        <f ca="1">IFERROR(INDEX(INDIRECT("NOTA_.xlsx!"&amp;Table1[[#This Row],[1_h]]&amp;"[diskon]"),MATCH(Table1[[#This Row],[ID]],INDIRECT("NOTA_.xlsx!"&amp;Table1[[#This Row],[1_h]]&amp;"[ID]"),0)),"")</f>
        <v>1479000</v>
      </c>
      <c r="L58" s="5">
        <f ca="1">IFERROR(INDEX(INDIRECT("NOTA_.xlsx!"&amp;Table1[[#This Row],[1_h]]&amp;"[Dpp]"),MATCH(Table1[[#This Row],[ID]],INDIRECT("NOTA_.xlsx!"&amp;Table1[[#This Row],[1_h]]&amp;"[ID]"),0)),"")</f>
        <v>6505405.405405405</v>
      </c>
      <c r="M58" s="5">
        <f ca="1">IFERROR(INDEX(INDIRECT("NOTA_.xlsx!"&amp;Table1[[#This Row],[1_h]]&amp;"[ppn (11%)]"),MATCH(Table1[[#This Row],[ID]],INDIRECT("NOTA_.xlsx!"&amp;Table1[[#This Row],[1_h]]&amp;"[ID]"),0)),"")</f>
        <v>715594.59459459456</v>
      </c>
      <c r="N58" s="5">
        <f ca="1">IFERROR(INDEX(INDIRECT("NOTA_.xlsx!"&amp;Table1[[#This Row],[1_h]]&amp;"[total]"),MATCH(Table1[[#This Row],[ID]],INDIRECT("NOTA_.xlsx!"&amp;Table1[[#This Row],[1_h]]&amp;"[ID]"),0)),"")</f>
        <v>7221000</v>
      </c>
      <c r="O58" s="59" t="str">
        <f ca="1">IF(Table1[[#This Row],[NAMA SUPPLIER]]="","",INDEX(conv1[2],MATCH(Table1[[#This Row],[NAMA SUPPLIER]],conv1[1],0)))</f>
        <v>KENKO</v>
      </c>
      <c r="P58" s="4">
        <f ca="1">IF(Table1[[#This Row],[NO. INVOICE]]="","",_xlfn.IFNA(MATCH(Table1[[#This Row],[NO. INVOICE]],'[3]REKAP PEMBELIAN'!$C:$C,0),MATCH(VALUE(Table1[[#This Row],[NO. INVOICE]]),'[3]REKAP PEMBELIAN'!$C:$C,0)))</f>
        <v>427</v>
      </c>
    </row>
    <row r="59" spans="1:16" s="44" customFormat="1" x14ac:dyDescent="0.25">
      <c r="A59" s="42">
        <f ca="1">IF(Table1[[#This Row],[NAMA SUPPLIER]]="","",MATCH(Table1[[#This Row],[N_ID]],INDIRECT(Table1[[#This Row],[1_h]]&amp;"[N_ID]"),0))</f>
        <v>71</v>
      </c>
      <c r="B59" s="33" t="s">
        <v>93</v>
      </c>
      <c r="C59" s="42">
        <f ca="1">_xlfn.IFNA(INDEX([6]!PAJAK[ID],MATCH(Table1[[#This Row],[N_ID]],[6]!PAJAK[ID_P],0)),"")</f>
        <v>91</v>
      </c>
      <c r="D59" s="42">
        <f ca="1">IF(Table1[[#This Row],[ID]]="","",INDEX([6]!PAJAK[QB],MATCH(Table1[[#This Row],[ID]],[6]!PAJAK[ID],0)))</f>
        <v>8</v>
      </c>
      <c r="E59" s="43">
        <f ca="1">INDEX([6]!PAJAK[TGL.MASUK],MATCH(Table1[[#This Row],[ID]],[6]!PAJAK[ID],0))</f>
        <v>44758</v>
      </c>
      <c r="F59" s="43">
        <f ca="1">INDEX([6]!PAJAK[TGL.NOTA],MATCH(Table1[[#This Row],[ID]],[6]!PAJAK[ID],0))</f>
        <v>44753</v>
      </c>
      <c r="G59" s="42" t="str">
        <f ca="1">INDEX([6]!PAJAK[NO.NOTA],MATCH(Table1[[#This Row],[ID]],[6]!PAJAK[ID],0))</f>
        <v>22070852</v>
      </c>
      <c r="I59" s="45" t="str">
        <f ca="1">INDEX([6]!PAJAK[SUPPLIER],MATCH(Table1[[#This Row],[ID]],[6]!PAJAK[ID],0))</f>
        <v>PT KENKO SINAR INDONESIA</v>
      </c>
      <c r="J59" s="46">
        <f ca="1">IFERROR(INDEX(INDIRECT("NOTA_.xlsx!"&amp;Table1[[#This Row],[1_h]]&amp;"[sub total]"),MATCH(Table1[[#This Row],[ID]],INDIRECT("NOTA_.xlsx!"&amp;Table1[[#This Row],[1_h]]&amp;"[ID]"),0)),"")</f>
        <v>37339200</v>
      </c>
      <c r="K59" s="46">
        <f ca="1">IFERROR(INDEX(INDIRECT("NOTA_.xlsx!"&amp;Table1[[#This Row],[1_h]]&amp;"[diskon]"),MATCH(Table1[[#This Row],[ID]],INDIRECT("NOTA_.xlsx!"&amp;Table1[[#This Row],[1_h]]&amp;"[ID]"),0)),"")</f>
        <v>6347664</v>
      </c>
      <c r="L59" s="46">
        <f ca="1">IFERROR(INDEX(INDIRECT("NOTA_.xlsx!"&amp;Table1[[#This Row],[1_h]]&amp;"[Dpp]"),MATCH(Table1[[#This Row],[ID]],INDIRECT("NOTA_.xlsx!"&amp;Table1[[#This Row],[1_h]]&amp;"[ID]"),0)),"")</f>
        <v>27920302.702702701</v>
      </c>
      <c r="M59" s="46">
        <f ca="1">IFERROR(INDEX(INDIRECT("NOTA_.xlsx!"&amp;Table1[[#This Row],[1_h]]&amp;"[ppn (11%)]"),MATCH(Table1[[#This Row],[ID]],INDIRECT("NOTA_.xlsx!"&amp;Table1[[#This Row],[1_h]]&amp;"[ID]"),0)),"")</f>
        <v>3071233.297297297</v>
      </c>
      <c r="N59" s="46">
        <f ca="1">IFERROR(INDEX(INDIRECT("NOTA_.xlsx!"&amp;Table1[[#This Row],[1_h]]&amp;"[total]"),MATCH(Table1[[#This Row],[ID]],INDIRECT("NOTA_.xlsx!"&amp;Table1[[#This Row],[1_h]]&amp;"[ID]"),0)),"")</f>
        <v>30991536</v>
      </c>
      <c r="O59" s="62" t="str">
        <f ca="1">IF(Table1[[#This Row],[NAMA SUPPLIER]]="","",INDEX(conv1[2],MATCH(Table1[[#This Row],[NAMA SUPPLIER]],conv1[1],0)))</f>
        <v>KENKO</v>
      </c>
      <c r="P59" s="45">
        <f ca="1">IF(Table1[[#This Row],[NO. INVOICE]]="","",_xlfn.IFNA(MATCH(Table1[[#This Row],[NO. INVOICE]],'[3]REKAP PEMBELIAN'!$C:$C,0),MATCH(VALUE(Table1[[#This Row],[NO. INVOICE]]),'[3]REKAP PEMBELIAN'!$C:$C,0)))</f>
        <v>428</v>
      </c>
    </row>
    <row r="60" spans="1:16" s="44" customFormat="1" x14ac:dyDescent="0.25">
      <c r="A60" s="42">
        <f ca="1">IF(Table1[[#This Row],[NAMA SUPPLIER]]="","",MATCH(Table1[[#This Row],[N_ID]],INDIRECT(Table1[[#This Row],[1_h]]&amp;"[N_ID]"),0))</f>
        <v>80</v>
      </c>
      <c r="B60" s="33" t="s">
        <v>94</v>
      </c>
      <c r="C60" s="42">
        <f ca="1">_xlfn.IFNA(INDEX([6]!PAJAK[ID],MATCH(Table1[[#This Row],[N_ID]],[6]!PAJAK[ID_P],0)),"")</f>
        <v>90</v>
      </c>
      <c r="D60" s="42">
        <f ca="1">IF(Table1[[#This Row],[ID]]="","",INDEX([6]!PAJAK[QB],MATCH(Table1[[#This Row],[ID]],[6]!PAJAK[ID],0)))</f>
        <v>1</v>
      </c>
      <c r="E60" s="43">
        <f ca="1">INDEX([6]!PAJAK[TGL.MASUK],MATCH(Table1[[#This Row],[ID]],[6]!PAJAK[ID],0))</f>
        <v>44758</v>
      </c>
      <c r="F60" s="43">
        <f ca="1">INDEX([6]!PAJAK[TGL.NOTA],MATCH(Table1[[#This Row],[ID]],[6]!PAJAK[ID],0))</f>
        <v>44753</v>
      </c>
      <c r="G60" s="42" t="str">
        <f ca="1">INDEX([6]!PAJAK[NO.NOTA],MATCH(Table1[[#This Row],[ID]],[6]!PAJAK[ID],0))</f>
        <v>22070867</v>
      </c>
      <c r="I60" s="45" t="str">
        <f ca="1">INDEX([6]!PAJAK[SUPPLIER],MATCH(Table1[[#This Row],[ID]],[6]!PAJAK[ID],0))</f>
        <v>PT KENKO SINAR INDONESIA</v>
      </c>
      <c r="J60" s="46">
        <f ca="1">IFERROR(INDEX(INDIRECT("NOTA_.xlsx!"&amp;Table1[[#This Row],[1_h]]&amp;"[sub total]"),MATCH(Table1[[#This Row],[ID]],INDIRECT("NOTA_.xlsx!"&amp;Table1[[#This Row],[1_h]]&amp;"[ID]"),0)),"")</f>
        <v>5250000</v>
      </c>
      <c r="K60" s="46">
        <f ca="1">IFERROR(INDEX(INDIRECT("NOTA_.xlsx!"&amp;Table1[[#This Row],[1_h]]&amp;"[diskon]"),MATCH(Table1[[#This Row],[ID]],INDIRECT("NOTA_.xlsx!"&amp;Table1[[#This Row],[1_h]]&amp;"[ID]"),0)),"")</f>
        <v>892500.00000000012</v>
      </c>
      <c r="L60" s="46">
        <f ca="1">IFERROR(INDEX(INDIRECT("NOTA_.xlsx!"&amp;Table1[[#This Row],[1_h]]&amp;"[Dpp]"),MATCH(Table1[[#This Row],[ID]],INDIRECT("NOTA_.xlsx!"&amp;Table1[[#This Row],[1_h]]&amp;"[ID]"),0)),"")</f>
        <v>3925675.6756756753</v>
      </c>
      <c r="M60" s="46">
        <f ca="1">IFERROR(INDEX(INDIRECT("NOTA_.xlsx!"&amp;Table1[[#This Row],[1_h]]&amp;"[ppn (11%)]"),MATCH(Table1[[#This Row],[ID]],INDIRECT("NOTA_.xlsx!"&amp;Table1[[#This Row],[1_h]]&amp;"[ID]"),0)),"")</f>
        <v>431824.32432432426</v>
      </c>
      <c r="N60" s="46">
        <f ca="1">IFERROR(INDEX(INDIRECT("NOTA_.xlsx!"&amp;Table1[[#This Row],[1_h]]&amp;"[total]"),MATCH(Table1[[#This Row],[ID]],INDIRECT("NOTA_.xlsx!"&amp;Table1[[#This Row],[1_h]]&amp;"[ID]"),0)),"")</f>
        <v>4357500</v>
      </c>
      <c r="O60" s="62" t="str">
        <f ca="1">IF(Table1[[#This Row],[NAMA SUPPLIER]]="","",INDEX(conv1[2],MATCH(Table1[[#This Row],[NAMA SUPPLIER]],conv1[1],0)))</f>
        <v>KENKO</v>
      </c>
      <c r="P60" s="45">
        <f ca="1">IF(Table1[[#This Row],[NO. INVOICE]]="","",_xlfn.IFNA(MATCH(Table1[[#This Row],[NO. INVOICE]],'[3]REKAP PEMBELIAN'!$C:$C,0),MATCH(VALUE(Table1[[#This Row],[NO. INVOICE]]),'[3]REKAP PEMBELIAN'!$C:$C,0)))</f>
        <v>429</v>
      </c>
    </row>
    <row r="61" spans="1:16" s="44" customFormat="1" x14ac:dyDescent="0.25">
      <c r="A61" s="42">
        <f ca="1">IF(Table1[[#This Row],[NAMA SUPPLIER]]="","",MATCH(Table1[[#This Row],[N_ID]],INDIRECT(Table1[[#This Row],[1_h]]&amp;"[N_ID]"),0))</f>
        <v>82</v>
      </c>
      <c r="B61" s="33" t="s">
        <v>95</v>
      </c>
      <c r="C61" s="42">
        <f ca="1">_xlfn.IFNA(INDEX([6]!PAJAK[ID],MATCH(Table1[[#This Row],[N_ID]],[6]!PAJAK[ID_P],0)),"")</f>
        <v>92</v>
      </c>
      <c r="D61" s="42">
        <f ca="1">IF(Table1[[#This Row],[ID]]="","",INDEX([6]!PAJAK[QB],MATCH(Table1[[#This Row],[ID]],[6]!PAJAK[ID],0)))</f>
        <v>10</v>
      </c>
      <c r="E61" s="43">
        <f ca="1">INDEX([6]!PAJAK[TGL.MASUK],MATCH(Table1[[#This Row],[ID]],[6]!PAJAK[ID],0))</f>
        <v>44758</v>
      </c>
      <c r="F61" s="43">
        <f ca="1">INDEX([6]!PAJAK[TGL.NOTA],MATCH(Table1[[#This Row],[ID]],[6]!PAJAK[ID],0))</f>
        <v>44754</v>
      </c>
      <c r="G61" s="42" t="str">
        <f ca="1">INDEX([6]!PAJAK[NO.NOTA],MATCH(Table1[[#This Row],[ID]],[6]!PAJAK[ID],0))</f>
        <v>22070969</v>
      </c>
      <c r="I61" s="45" t="str">
        <f ca="1">INDEX([6]!PAJAK[SUPPLIER],MATCH(Table1[[#This Row],[ID]],[6]!PAJAK[ID],0))</f>
        <v>PT KENKO SINAR INDONESIA</v>
      </c>
      <c r="J61" s="46">
        <f ca="1">IFERROR(INDEX(INDIRECT("NOTA_.xlsx!"&amp;Table1[[#This Row],[1_h]]&amp;"[sub total]"),MATCH(Table1[[#This Row],[ID]],INDIRECT("NOTA_.xlsx!"&amp;Table1[[#This Row],[1_h]]&amp;"[ID]"),0)),"")</f>
        <v>49986000</v>
      </c>
      <c r="K61" s="46">
        <f ca="1">IFERROR(INDEX(INDIRECT("NOTA_.xlsx!"&amp;Table1[[#This Row],[1_h]]&amp;"[diskon]"),MATCH(Table1[[#This Row],[ID]],INDIRECT("NOTA_.xlsx!"&amp;Table1[[#This Row],[1_h]]&amp;"[ID]"),0)),"")</f>
        <v>8497620</v>
      </c>
      <c r="L61" s="46">
        <f ca="1">IFERROR(INDEX(INDIRECT("NOTA_.xlsx!"&amp;Table1[[#This Row],[1_h]]&amp;"[Dpp]"),MATCH(Table1[[#This Row],[ID]],INDIRECT("NOTA_.xlsx!"&amp;Table1[[#This Row],[1_h]]&amp;"[ID]"),0)),"")</f>
        <v>37376918.918918915</v>
      </c>
      <c r="M61" s="46">
        <f ca="1">IFERROR(INDEX(INDIRECT("NOTA_.xlsx!"&amp;Table1[[#This Row],[1_h]]&amp;"[ppn (11%)]"),MATCH(Table1[[#This Row],[ID]],INDIRECT("NOTA_.xlsx!"&amp;Table1[[#This Row],[1_h]]&amp;"[ID]"),0)),"")</f>
        <v>4111461.0810810807</v>
      </c>
      <c r="N61" s="46">
        <f ca="1">IFERROR(INDEX(INDIRECT("NOTA_.xlsx!"&amp;Table1[[#This Row],[1_h]]&amp;"[total]"),MATCH(Table1[[#This Row],[ID]],INDIRECT("NOTA_.xlsx!"&amp;Table1[[#This Row],[1_h]]&amp;"[ID]"),0)),"")</f>
        <v>41488379.999999993</v>
      </c>
      <c r="O61" s="62" t="str">
        <f ca="1">IF(Table1[[#This Row],[NAMA SUPPLIER]]="","",INDEX(conv1[2],MATCH(Table1[[#This Row],[NAMA SUPPLIER]],conv1[1],0)))</f>
        <v>KENKO</v>
      </c>
      <c r="P61" s="45">
        <f ca="1">IF(Table1[[#This Row],[NO. INVOICE]]="","",_xlfn.IFNA(MATCH(Table1[[#This Row],[NO. INVOICE]],'[3]REKAP PEMBELIAN'!$C:$C,0),MATCH(VALUE(Table1[[#This Row],[NO. INVOICE]]),'[3]REKAP PEMBELIAN'!$C:$C,0)))</f>
        <v>430</v>
      </c>
    </row>
    <row r="62" spans="1:16" s="44" customFormat="1" x14ac:dyDescent="0.25">
      <c r="A62" s="42">
        <f ca="1">IF(Table1[[#This Row],[NAMA SUPPLIER]]="","",MATCH(Table1[[#This Row],[N_ID]],INDIRECT(Table1[[#This Row],[1_h]]&amp;"[N_ID]"),0))</f>
        <v>93</v>
      </c>
      <c r="B62" s="33" t="s">
        <v>96</v>
      </c>
      <c r="C62" s="42">
        <f ca="1">_xlfn.IFNA(INDEX([6]!PAJAK[ID],MATCH(Table1[[#This Row],[N_ID]],[6]!PAJAK[ID_P],0)),"")</f>
        <v>89</v>
      </c>
      <c r="D62" s="42">
        <f ca="1">IF(Table1[[#This Row],[ID]]="","",INDEX([6]!PAJAK[QB],MATCH(Table1[[#This Row],[ID]],[6]!PAJAK[ID],0)))</f>
        <v>2</v>
      </c>
      <c r="E62" s="43">
        <f ca="1">INDEX([6]!PAJAK[TGL.MASUK],MATCH(Table1[[#This Row],[ID]],[6]!PAJAK[ID],0))</f>
        <v>44758</v>
      </c>
      <c r="F62" s="43">
        <f ca="1">INDEX([6]!PAJAK[TGL.NOTA],MATCH(Table1[[#This Row],[ID]],[6]!PAJAK[ID],0))</f>
        <v>44754</v>
      </c>
      <c r="G62" s="42" t="str">
        <f ca="1">INDEX([6]!PAJAK[NO.NOTA],MATCH(Table1[[#This Row],[ID]],[6]!PAJAK[ID],0))</f>
        <v>22070976</v>
      </c>
      <c r="I62" s="45" t="str">
        <f ca="1">INDEX([6]!PAJAK[SUPPLIER],MATCH(Table1[[#This Row],[ID]],[6]!PAJAK[ID],0))</f>
        <v>PT KENKO SINAR INDONESIA</v>
      </c>
      <c r="J62" s="46">
        <f ca="1">IFERROR(INDEX(INDIRECT("NOTA_.xlsx!"&amp;Table1[[#This Row],[1_h]]&amp;"[sub total]"),MATCH(Table1[[#This Row],[ID]],INDIRECT("NOTA_.xlsx!"&amp;Table1[[#This Row],[1_h]]&amp;"[ID]"),0)),"")</f>
        <v>4680000</v>
      </c>
      <c r="K62" s="46">
        <f ca="1">IFERROR(INDEX(INDIRECT("NOTA_.xlsx!"&amp;Table1[[#This Row],[1_h]]&amp;"[diskon]"),MATCH(Table1[[#This Row],[ID]],INDIRECT("NOTA_.xlsx!"&amp;Table1[[#This Row],[1_h]]&amp;"[ID]"),0)),"")</f>
        <v>795600</v>
      </c>
      <c r="L62" s="46">
        <f ca="1">IFERROR(INDEX(INDIRECT("NOTA_.xlsx!"&amp;Table1[[#This Row],[1_h]]&amp;"[Dpp]"),MATCH(Table1[[#This Row],[ID]],INDIRECT("NOTA_.xlsx!"&amp;Table1[[#This Row],[1_h]]&amp;"[ID]"),0)),"")</f>
        <v>3499459.4594594589</v>
      </c>
      <c r="M62" s="46">
        <f ca="1">IFERROR(INDEX(INDIRECT("NOTA_.xlsx!"&amp;Table1[[#This Row],[1_h]]&amp;"[ppn (11%)]"),MATCH(Table1[[#This Row],[ID]],INDIRECT("NOTA_.xlsx!"&amp;Table1[[#This Row],[1_h]]&amp;"[ID]"),0)),"")</f>
        <v>384940.54054054047</v>
      </c>
      <c r="N62" s="46">
        <f ca="1">IFERROR(INDEX(INDIRECT("NOTA_.xlsx!"&amp;Table1[[#This Row],[1_h]]&amp;"[total]"),MATCH(Table1[[#This Row],[ID]],INDIRECT("NOTA_.xlsx!"&amp;Table1[[#This Row],[1_h]]&amp;"[ID]"),0)),"")</f>
        <v>3884399.9999999995</v>
      </c>
      <c r="O62" s="62" t="str">
        <f ca="1">IF(Table1[[#This Row],[NAMA SUPPLIER]]="","",INDEX(conv1[2],MATCH(Table1[[#This Row],[NAMA SUPPLIER]],conv1[1],0)))</f>
        <v>KENKO</v>
      </c>
      <c r="P62" s="45">
        <f ca="1">IF(Table1[[#This Row],[NO. INVOICE]]="","",_xlfn.IFNA(MATCH(Table1[[#This Row],[NO. INVOICE]],'[3]REKAP PEMBELIAN'!$C:$C,0),MATCH(VALUE(Table1[[#This Row],[NO. INVOICE]]),'[3]REKAP PEMBELIAN'!$C:$C,0)))</f>
        <v>431</v>
      </c>
    </row>
    <row r="63" spans="1:16" x14ac:dyDescent="0.25">
      <c r="A63" s="6">
        <f ca="1">IF(Table1[[#This Row],[NAMA SUPPLIER]]="","",MATCH(Table1[[#This Row],[N_ID]],INDIRECT(Table1[[#This Row],[1_h]]&amp;"[N_ID]"),0))</f>
        <v>96</v>
      </c>
      <c r="B63" s="2" t="s">
        <v>71</v>
      </c>
      <c r="C63" s="6">
        <f ca="1">_xlfn.IFNA(INDEX([6]!PAJAK[ID],MATCH(Table1[[#This Row],[N_ID]],[6]!PAJAK[ID_P],0)),"")</f>
        <v>96</v>
      </c>
      <c r="D63" s="6">
        <f ca="1">IF(Table1[[#This Row],[ID]]="","",INDEX([6]!PAJAK[QB],MATCH(Table1[[#This Row],[ID]],[6]!PAJAK[ID],0)))</f>
        <v>10</v>
      </c>
      <c r="E63" s="3">
        <f ca="1">INDEX([6]!PAJAK[TGL.MASUK],MATCH(Table1[[#This Row],[ID]],[6]!PAJAK[ID],0))</f>
        <v>44760</v>
      </c>
      <c r="F63" s="3">
        <f ca="1">INDEX([6]!PAJAK[TGL.NOTA],MATCH(Table1[[#This Row],[ID]],[6]!PAJAK[ID],0))</f>
        <v>44755</v>
      </c>
      <c r="G63" s="6" t="str">
        <f ca="1">INDEX([6]!PAJAK[NO.NOTA],MATCH(Table1[[#This Row],[ID]],[6]!PAJAK[ID],0))</f>
        <v>22071054</v>
      </c>
      <c r="I63" s="4" t="str">
        <f ca="1">INDEX([6]!PAJAK[SUPPLIER],MATCH(Table1[[#This Row],[ID]],[6]!PAJAK[ID],0))</f>
        <v>PT KENKO SINAR INDONESIA</v>
      </c>
      <c r="J63" s="5">
        <f ca="1">IFERROR(INDEX(INDIRECT("NOTA_.xlsx!"&amp;Table1[[#This Row],[1_h]]&amp;"[sub total]"),MATCH(Table1[[#This Row],[ID]],INDIRECT("NOTA_.xlsx!"&amp;Table1[[#This Row],[1_h]]&amp;"[ID]"),0)),"")</f>
        <v>45545200</v>
      </c>
      <c r="K63" s="5">
        <f ca="1">IFERROR(INDEX(INDIRECT("NOTA_.xlsx!"&amp;Table1[[#This Row],[1_h]]&amp;"[diskon]"),MATCH(Table1[[#This Row],[ID]],INDIRECT("NOTA_.xlsx!"&amp;Table1[[#This Row],[1_h]]&amp;"[ID]"),0)),"")</f>
        <v>7742684</v>
      </c>
      <c r="L63" s="5">
        <f ca="1">IFERROR(INDEX(INDIRECT("NOTA_.xlsx!"&amp;Table1[[#This Row],[1_h]]&amp;"[Dpp]"),MATCH(Table1[[#This Row],[ID]],INDIRECT("NOTA_.xlsx!"&amp;Table1[[#This Row],[1_h]]&amp;"[ID]"),0)),"")</f>
        <v>34056320.720720716</v>
      </c>
      <c r="M63" s="5">
        <f ca="1">IFERROR(INDEX(INDIRECT("NOTA_.xlsx!"&amp;Table1[[#This Row],[1_h]]&amp;"[ppn (11%)]"),MATCH(Table1[[#This Row],[ID]],INDIRECT("NOTA_.xlsx!"&amp;Table1[[#This Row],[1_h]]&amp;"[ID]"),0)),"")</f>
        <v>3746195.2792792786</v>
      </c>
      <c r="N63" s="5">
        <f ca="1">IFERROR(INDEX(INDIRECT("NOTA_.xlsx!"&amp;Table1[[#This Row],[1_h]]&amp;"[total]"),MATCH(Table1[[#This Row],[ID]],INDIRECT("NOTA_.xlsx!"&amp;Table1[[#This Row],[1_h]]&amp;"[ID]"),0)),"")</f>
        <v>37802515.999999993</v>
      </c>
      <c r="O63" s="59" t="str">
        <f ca="1">IF(Table1[[#This Row],[NAMA SUPPLIER]]="","",INDEX(conv1[2],MATCH(Table1[[#This Row],[NAMA SUPPLIER]],conv1[1],0)))</f>
        <v>KENKO</v>
      </c>
      <c r="P63" s="4">
        <f ca="1">IF(Table1[[#This Row],[NO. INVOICE]]="","",_xlfn.IFNA(MATCH(Table1[[#This Row],[NO. INVOICE]],'[3]REKAP PEMBELIAN'!$C:$C,0),MATCH(VALUE(Table1[[#This Row],[NO. INVOICE]]),'[3]REKAP PEMBELIAN'!$C:$C,0)))</f>
        <v>432</v>
      </c>
    </row>
    <row r="64" spans="1:16" x14ac:dyDescent="0.25">
      <c r="A64" s="6">
        <f ca="1">IF(Table1[[#This Row],[NAMA SUPPLIER]]="","",MATCH(Table1[[#This Row],[N_ID]],INDIRECT(Table1[[#This Row],[1_h]]&amp;"[N_ID]"),0))</f>
        <v>107</v>
      </c>
      <c r="B64" s="2" t="s">
        <v>72</v>
      </c>
      <c r="C64" s="6">
        <f ca="1">_xlfn.IFNA(INDEX([6]!PAJAK[ID],MATCH(Table1[[#This Row],[N_ID]],[6]!PAJAK[ID_P],0)),"")</f>
        <v>97</v>
      </c>
      <c r="D64" s="6">
        <f ca="1">IF(Table1[[#This Row],[ID]]="","",INDEX([6]!PAJAK[QB],MATCH(Table1[[#This Row],[ID]],[6]!PAJAK[ID],0)))</f>
        <v>5</v>
      </c>
      <c r="E64" s="3">
        <f ca="1">INDEX([6]!PAJAK[TGL.MASUK],MATCH(Table1[[#This Row],[ID]],[6]!PAJAK[ID],0))</f>
        <v>44760</v>
      </c>
      <c r="F64" s="3">
        <f ca="1">INDEX([6]!PAJAK[TGL.NOTA],MATCH(Table1[[#This Row],[ID]],[6]!PAJAK[ID],0))</f>
        <v>44755</v>
      </c>
      <c r="G64" s="6" t="str">
        <f ca="1">INDEX([6]!PAJAK[NO.NOTA],MATCH(Table1[[#This Row],[ID]],[6]!PAJAK[ID],0))</f>
        <v>22071063</v>
      </c>
      <c r="I64" s="4" t="str">
        <f ca="1">INDEX([6]!PAJAK[SUPPLIER],MATCH(Table1[[#This Row],[ID]],[6]!PAJAK[ID],0))</f>
        <v>PT KENKO SINAR INDONESIA</v>
      </c>
      <c r="J64" s="5">
        <f ca="1">IFERROR(INDEX(INDIRECT("NOTA_.xlsx!"&amp;Table1[[#This Row],[1_h]]&amp;"[sub total]"),MATCH(Table1[[#This Row],[ID]],INDIRECT("NOTA_.xlsx!"&amp;Table1[[#This Row],[1_h]]&amp;"[ID]"),0)),"")</f>
        <v>17847600</v>
      </c>
      <c r="K64" s="5">
        <f ca="1">IFERROR(INDEX(INDIRECT("NOTA_.xlsx!"&amp;Table1[[#This Row],[1_h]]&amp;"[diskon]"),MATCH(Table1[[#This Row],[ID]],INDIRECT("NOTA_.xlsx!"&amp;Table1[[#This Row],[1_h]]&amp;"[ID]"),0)),"")</f>
        <v>3034092</v>
      </c>
      <c r="L64" s="5">
        <f ca="1">IFERROR(INDEX(INDIRECT("NOTA_.xlsx!"&amp;Table1[[#This Row],[1_h]]&amp;"[Dpp]"),MATCH(Table1[[#This Row],[ID]],INDIRECT("NOTA_.xlsx!"&amp;Table1[[#This Row],[1_h]]&amp;"[ID]"),0)),"")</f>
        <v>13345502.702702701</v>
      </c>
      <c r="M64" s="5">
        <f ca="1">IFERROR(INDEX(INDIRECT("NOTA_.xlsx!"&amp;Table1[[#This Row],[1_h]]&amp;"[ppn (11%)]"),MATCH(Table1[[#This Row],[ID]],INDIRECT("NOTA_.xlsx!"&amp;Table1[[#This Row],[1_h]]&amp;"[ID]"),0)),"")</f>
        <v>1468005.297297297</v>
      </c>
      <c r="N64" s="5">
        <f ca="1">IFERROR(INDEX(INDIRECT("NOTA_.xlsx!"&amp;Table1[[#This Row],[1_h]]&amp;"[total]"),MATCH(Table1[[#This Row],[ID]],INDIRECT("NOTA_.xlsx!"&amp;Table1[[#This Row],[1_h]]&amp;"[ID]"),0)),"")</f>
        <v>14813507.999999998</v>
      </c>
      <c r="O64" s="59" t="str">
        <f ca="1">IF(Table1[[#This Row],[NAMA SUPPLIER]]="","",INDEX(conv1[2],MATCH(Table1[[#This Row],[NAMA SUPPLIER]],conv1[1],0)))</f>
        <v>KENKO</v>
      </c>
      <c r="P64" s="4">
        <f ca="1">IF(Table1[[#This Row],[NO. INVOICE]]="","",_xlfn.IFNA(MATCH(Table1[[#This Row],[NO. INVOICE]],'[3]REKAP PEMBELIAN'!$C:$C,0),MATCH(VALUE(Table1[[#This Row],[NO. INVOICE]]),'[3]REKAP PEMBELIAN'!$C:$C,0)))</f>
        <v>433</v>
      </c>
    </row>
    <row r="65" spans="1:16" x14ac:dyDescent="0.25">
      <c r="A65" s="6">
        <f ca="1">IF(Table1[[#This Row],[NAMA SUPPLIER]]="","",MATCH(Table1[[#This Row],[N_ID]],INDIRECT(Table1[[#This Row],[1_h]]&amp;"[N_ID]"),0))</f>
        <v>113</v>
      </c>
      <c r="B65" s="2" t="s">
        <v>74</v>
      </c>
      <c r="C65" s="6">
        <f ca="1">_xlfn.IFNA(INDEX([6]!PAJAK[ID],MATCH(Table1[[#This Row],[N_ID]],[6]!PAJAK[ID_P],0)),"")</f>
        <v>101</v>
      </c>
      <c r="D65" s="6">
        <f ca="1">IF(Table1[[#This Row],[ID]]="","",INDEX([6]!PAJAK[QB],MATCH(Table1[[#This Row],[ID]],[6]!PAJAK[ID],0)))</f>
        <v>1</v>
      </c>
      <c r="E65" s="3">
        <f ca="1">INDEX([6]!PAJAK[TGL.MASUK],MATCH(Table1[[#This Row],[ID]],[6]!PAJAK[ID],0))</f>
        <v>44760</v>
      </c>
      <c r="F65" s="3">
        <f ca="1">INDEX([6]!PAJAK[TGL.NOTA],MATCH(Table1[[#This Row],[ID]],[6]!PAJAK[ID],0))</f>
        <v>44755</v>
      </c>
      <c r="G65" s="6" t="str">
        <f ca="1">INDEX([6]!PAJAK[NO.NOTA],MATCH(Table1[[#This Row],[ID]],[6]!PAJAK[ID],0))</f>
        <v>22071088</v>
      </c>
      <c r="I65" s="4" t="str">
        <f ca="1">INDEX([6]!PAJAK[SUPPLIER],MATCH(Table1[[#This Row],[ID]],[6]!PAJAK[ID],0))</f>
        <v>PT KENKO SINAR INDONESIA</v>
      </c>
      <c r="J65" s="5">
        <f ca="1">IFERROR(INDEX(INDIRECT("NOTA_.xlsx!"&amp;Table1[[#This Row],[1_h]]&amp;"[sub total]"),MATCH(Table1[[#This Row],[ID]],INDIRECT("NOTA_.xlsx!"&amp;Table1[[#This Row],[1_h]]&amp;"[ID]"),0)),"")</f>
        <v>19008000</v>
      </c>
      <c r="K65" s="5">
        <f ca="1">IFERROR(INDEX(INDIRECT("NOTA_.xlsx!"&amp;Table1[[#This Row],[1_h]]&amp;"[diskon]"),MATCH(Table1[[#This Row],[ID]],INDIRECT("NOTA_.xlsx!"&amp;Table1[[#This Row],[1_h]]&amp;"[ID]"),0)),"")</f>
        <v>3231360</v>
      </c>
      <c r="L65" s="5">
        <f ca="1">IFERROR(INDEX(INDIRECT("NOTA_.xlsx!"&amp;Table1[[#This Row],[1_h]]&amp;"[Dpp]"),MATCH(Table1[[#This Row],[ID]],INDIRECT("NOTA_.xlsx!"&amp;Table1[[#This Row],[1_h]]&amp;"[ID]"),0)),"")</f>
        <v>14213189.189189188</v>
      </c>
      <c r="M65" s="5">
        <f ca="1">IFERROR(INDEX(INDIRECT("NOTA_.xlsx!"&amp;Table1[[#This Row],[1_h]]&amp;"[ppn (11%)]"),MATCH(Table1[[#This Row],[ID]],INDIRECT("NOTA_.xlsx!"&amp;Table1[[#This Row],[1_h]]&amp;"[ID]"),0)),"")</f>
        <v>1563450.8108108107</v>
      </c>
      <c r="N65" s="5">
        <f ca="1">IFERROR(INDEX(INDIRECT("NOTA_.xlsx!"&amp;Table1[[#This Row],[1_h]]&amp;"[total]"),MATCH(Table1[[#This Row],[ID]],INDIRECT("NOTA_.xlsx!"&amp;Table1[[#This Row],[1_h]]&amp;"[ID]"),0)),"")</f>
        <v>15776639.999999998</v>
      </c>
      <c r="O65" s="59" t="str">
        <f ca="1">IF(Table1[[#This Row],[NAMA SUPPLIER]]="","",INDEX(conv1[2],MATCH(Table1[[#This Row],[NAMA SUPPLIER]],conv1[1],0)))</f>
        <v>KENKO</v>
      </c>
      <c r="P65" s="4">
        <f ca="1">IF(Table1[[#This Row],[NO. INVOICE]]="","",_xlfn.IFNA(MATCH(Table1[[#This Row],[NO. INVOICE]],'[3]REKAP PEMBELIAN'!$C:$C,0),MATCH(VALUE(Table1[[#This Row],[NO. INVOICE]]),'[3]REKAP PEMBELIAN'!$C:$C,0)))</f>
        <v>434</v>
      </c>
    </row>
    <row r="66" spans="1:16" x14ac:dyDescent="0.25">
      <c r="A66" s="6">
        <f ca="1">IF(Table1[[#This Row],[NAMA SUPPLIER]]="","",MATCH(Table1[[#This Row],[N_ID]],INDIRECT(Table1[[#This Row],[1_h]]&amp;"[N_ID]"),0))</f>
        <v>115</v>
      </c>
      <c r="B66" s="2" t="s">
        <v>73</v>
      </c>
      <c r="C66" s="6">
        <f ca="1">_xlfn.IFNA(INDEX([6]!PAJAK[ID],MATCH(Table1[[#This Row],[N_ID]],[6]!PAJAK[ID_P],0)),"")</f>
        <v>100</v>
      </c>
      <c r="D66" s="6">
        <f ca="1">IF(Table1[[#This Row],[ID]]="","",INDEX([6]!PAJAK[QB],MATCH(Table1[[#This Row],[ID]],[6]!PAJAK[ID],0)))</f>
        <v>5</v>
      </c>
      <c r="E66" s="3">
        <f ca="1">INDEX([6]!PAJAK[TGL.MASUK],MATCH(Table1[[#This Row],[ID]],[6]!PAJAK[ID],0))</f>
        <v>44760</v>
      </c>
      <c r="F66" s="3">
        <f ca="1">INDEX([6]!PAJAK[TGL.NOTA],MATCH(Table1[[#This Row],[ID]],[6]!PAJAK[ID],0))</f>
        <v>44756</v>
      </c>
      <c r="G66" s="6" t="str">
        <f ca="1">INDEX([6]!PAJAK[NO.NOTA],MATCH(Table1[[#This Row],[ID]],[6]!PAJAK[ID],0))</f>
        <v>22071194</v>
      </c>
      <c r="I66" s="4" t="str">
        <f ca="1">INDEX([6]!PAJAK[SUPPLIER],MATCH(Table1[[#This Row],[ID]],[6]!PAJAK[ID],0))</f>
        <v>PT KENKO SINAR INDONESIA</v>
      </c>
      <c r="J66" s="5">
        <f ca="1">IFERROR(INDEX(INDIRECT("NOTA_.xlsx!"&amp;Table1[[#This Row],[1_h]]&amp;"[sub total]"),MATCH(Table1[[#This Row],[ID]],INDIRECT("NOTA_.xlsx!"&amp;Table1[[#This Row],[1_h]]&amp;"[ID]"),0)),"")</f>
        <v>14156000</v>
      </c>
      <c r="K66" s="5">
        <f ca="1">IFERROR(INDEX(INDIRECT("NOTA_.xlsx!"&amp;Table1[[#This Row],[1_h]]&amp;"[diskon]"),MATCH(Table1[[#This Row],[ID]],INDIRECT("NOTA_.xlsx!"&amp;Table1[[#This Row],[1_h]]&amp;"[ID]"),0)),"")</f>
        <v>2406520</v>
      </c>
      <c r="L66" s="5">
        <f ca="1">IFERROR(INDEX(INDIRECT("NOTA_.xlsx!"&amp;Table1[[#This Row],[1_h]]&amp;"[Dpp]"),MATCH(Table1[[#This Row],[ID]],INDIRECT("NOTA_.xlsx!"&amp;Table1[[#This Row],[1_h]]&amp;"[ID]"),0)),"")</f>
        <v>10585117.117117116</v>
      </c>
      <c r="M66" s="5">
        <f ca="1">IFERROR(INDEX(INDIRECT("NOTA_.xlsx!"&amp;Table1[[#This Row],[1_h]]&amp;"[ppn (11%)]"),MATCH(Table1[[#This Row],[ID]],INDIRECT("NOTA_.xlsx!"&amp;Table1[[#This Row],[1_h]]&amp;"[ID]"),0)),"")</f>
        <v>1164362.8828828828</v>
      </c>
      <c r="N66" s="5">
        <f ca="1">IFERROR(INDEX(INDIRECT("NOTA_.xlsx!"&amp;Table1[[#This Row],[1_h]]&amp;"[total]"),MATCH(Table1[[#This Row],[ID]],INDIRECT("NOTA_.xlsx!"&amp;Table1[[#This Row],[1_h]]&amp;"[ID]"),0)),"")</f>
        <v>11749480</v>
      </c>
      <c r="O66" s="59" t="str">
        <f ca="1">IF(Table1[[#This Row],[NAMA SUPPLIER]]="","",INDEX(conv1[2],MATCH(Table1[[#This Row],[NAMA SUPPLIER]],conv1[1],0)))</f>
        <v>KENKO</v>
      </c>
      <c r="P66" s="4">
        <f ca="1">IF(Table1[[#This Row],[NO. INVOICE]]="","",_xlfn.IFNA(MATCH(Table1[[#This Row],[NO. INVOICE]],'[3]REKAP PEMBELIAN'!$C:$C,0),MATCH(VALUE(Table1[[#This Row],[NO. INVOICE]]),'[3]REKAP PEMBELIAN'!$C:$C,0)))</f>
        <v>435</v>
      </c>
    </row>
    <row r="67" spans="1:16" x14ac:dyDescent="0.25">
      <c r="A67" s="6">
        <f ca="1">IF(Table1[[#This Row],[NAMA SUPPLIER]]="","",MATCH(Table1[[#This Row],[N_ID]],INDIRECT(Table1[[#This Row],[1_h]]&amp;"[N_ID]"),0))</f>
        <v>121</v>
      </c>
      <c r="B67" s="2" t="s">
        <v>75</v>
      </c>
      <c r="C67" s="6">
        <f ca="1">_xlfn.IFNA(INDEX([6]!PAJAK[ID],MATCH(Table1[[#This Row],[N_ID]],[6]!PAJAK[ID_P],0)),"")</f>
        <v>99</v>
      </c>
      <c r="D67" s="6">
        <f ca="1">IF(Table1[[#This Row],[ID]]="","",INDEX([6]!PAJAK[QB],MATCH(Table1[[#This Row],[ID]],[6]!PAJAK[ID],0)))</f>
        <v>1</v>
      </c>
      <c r="E67" s="3">
        <f ca="1">INDEX([6]!PAJAK[TGL.MASUK],MATCH(Table1[[#This Row],[ID]],[6]!PAJAK[ID],0))</f>
        <v>44760</v>
      </c>
      <c r="F67" s="3">
        <f ca="1">INDEX([6]!PAJAK[TGL.NOTA],MATCH(Table1[[#This Row],[ID]],[6]!PAJAK[ID],0))</f>
        <v>44756</v>
      </c>
      <c r="G67" s="6" t="str">
        <f ca="1">INDEX([6]!PAJAK[NO.NOTA],MATCH(Table1[[#This Row],[ID]],[6]!PAJAK[ID],0))</f>
        <v>22071218</v>
      </c>
      <c r="I67" s="4" t="str">
        <f ca="1">INDEX([6]!PAJAK[SUPPLIER],MATCH(Table1[[#This Row],[ID]],[6]!PAJAK[ID],0))</f>
        <v>PT KENKO SINAR INDONESIA</v>
      </c>
      <c r="J67" s="5">
        <f ca="1">IFERROR(INDEX(INDIRECT("NOTA_.xlsx!"&amp;Table1[[#This Row],[1_h]]&amp;"[sub total]"),MATCH(Table1[[#This Row],[ID]],INDIRECT("NOTA_.xlsx!"&amp;Table1[[#This Row],[1_h]]&amp;"[ID]"),0)),"")</f>
        <v>11550000</v>
      </c>
      <c r="K67" s="5">
        <f ca="1">IFERROR(INDEX(INDIRECT("NOTA_.xlsx!"&amp;Table1[[#This Row],[1_h]]&amp;"[diskon]"),MATCH(Table1[[#This Row],[ID]],INDIRECT("NOTA_.xlsx!"&amp;Table1[[#This Row],[1_h]]&amp;"[ID]"),0)),"")</f>
        <v>1963500.0000000002</v>
      </c>
      <c r="L67" s="5">
        <f ca="1">IFERROR(INDEX(INDIRECT("NOTA_.xlsx!"&amp;Table1[[#This Row],[1_h]]&amp;"[Dpp]"),MATCH(Table1[[#This Row],[ID]],INDIRECT("NOTA_.xlsx!"&amp;Table1[[#This Row],[1_h]]&amp;"[ID]"),0)),"")</f>
        <v>8636486.4864864852</v>
      </c>
      <c r="M67" s="5">
        <f ca="1">IFERROR(INDEX(INDIRECT("NOTA_.xlsx!"&amp;Table1[[#This Row],[1_h]]&amp;"[ppn (11%)]"),MATCH(Table1[[#This Row],[ID]],INDIRECT("NOTA_.xlsx!"&amp;Table1[[#This Row],[1_h]]&amp;"[ID]"),0)),"")</f>
        <v>950013.51351351338</v>
      </c>
      <c r="N67" s="5">
        <f ca="1">IFERROR(INDEX(INDIRECT("NOTA_.xlsx!"&amp;Table1[[#This Row],[1_h]]&amp;"[total]"),MATCH(Table1[[#This Row],[ID]],INDIRECT("NOTA_.xlsx!"&amp;Table1[[#This Row],[1_h]]&amp;"[ID]"),0)),"")</f>
        <v>9586499.9999999981</v>
      </c>
      <c r="O67" s="59" t="str">
        <f ca="1">IF(Table1[[#This Row],[NAMA SUPPLIER]]="","",INDEX(conv1[2],MATCH(Table1[[#This Row],[NAMA SUPPLIER]],conv1[1],0)))</f>
        <v>KENKO</v>
      </c>
      <c r="P67" s="4">
        <f ca="1">IF(Table1[[#This Row],[NO. INVOICE]]="","",_xlfn.IFNA(MATCH(Table1[[#This Row],[NO. INVOICE]],'[3]REKAP PEMBELIAN'!$C:$C,0),MATCH(VALUE(Table1[[#This Row],[NO. INVOICE]]),'[3]REKAP PEMBELIAN'!$C:$C,0)))</f>
        <v>436</v>
      </c>
    </row>
    <row r="68" spans="1:16" x14ac:dyDescent="0.25">
      <c r="A68" s="6">
        <f ca="1">IF(Table1[[#This Row],[NAMA SUPPLIER]]="","",MATCH(Table1[[#This Row],[N_ID]],INDIRECT(Table1[[#This Row],[1_h]]&amp;"[N_ID]"),0))</f>
        <v>123</v>
      </c>
      <c r="B68" s="2" t="s">
        <v>76</v>
      </c>
      <c r="C68" s="6">
        <f ca="1">_xlfn.IFNA(INDEX([6]!PAJAK[ID],MATCH(Table1[[#This Row],[N_ID]],[6]!PAJAK[ID_P],0)),"")</f>
        <v>98</v>
      </c>
      <c r="D68" s="6">
        <f ca="1">IF(Table1[[#This Row],[ID]]="","",INDEX([6]!PAJAK[QB],MATCH(Table1[[#This Row],[ID]],[6]!PAJAK[ID],0)))</f>
        <v>2</v>
      </c>
      <c r="E68" s="3">
        <f ca="1">INDEX([6]!PAJAK[TGL.MASUK],MATCH(Table1[[#This Row],[ID]],[6]!PAJAK[ID],0))</f>
        <v>44760</v>
      </c>
      <c r="F68" s="3">
        <f ca="1">INDEX([6]!PAJAK[TGL.NOTA],MATCH(Table1[[#This Row],[ID]],[6]!PAJAK[ID],0))</f>
        <v>44756</v>
      </c>
      <c r="G68" s="6" t="str">
        <f ca="1">INDEX([6]!PAJAK[NO.NOTA],MATCH(Table1[[#This Row],[ID]],[6]!PAJAK[ID],0))</f>
        <v>22071231</v>
      </c>
      <c r="I68" s="4" t="str">
        <f ca="1">INDEX([6]!PAJAK[SUPPLIER],MATCH(Table1[[#This Row],[ID]],[6]!PAJAK[ID],0))</f>
        <v>PT KENKO SINAR INDONESIA</v>
      </c>
      <c r="J68" s="5">
        <f ca="1">IFERROR(INDEX(INDIRECT("NOTA_.xlsx!"&amp;Table1[[#This Row],[1_h]]&amp;"[sub total]"),MATCH(Table1[[#This Row],[ID]],INDIRECT("NOTA_.xlsx!"&amp;Table1[[#This Row],[1_h]]&amp;"[ID]"),0)),"")</f>
        <v>15684000</v>
      </c>
      <c r="K68" s="5">
        <f ca="1">IFERROR(INDEX(INDIRECT("NOTA_.xlsx!"&amp;Table1[[#This Row],[1_h]]&amp;"[diskon]"),MATCH(Table1[[#This Row],[ID]],INDIRECT("NOTA_.xlsx!"&amp;Table1[[#This Row],[1_h]]&amp;"[ID]"),0)),"")</f>
        <v>2666280.0000000005</v>
      </c>
      <c r="L68" s="5">
        <f ca="1">IFERROR(INDEX(INDIRECT("NOTA_.xlsx!"&amp;Table1[[#This Row],[1_h]]&amp;"[Dpp]"),MATCH(Table1[[#This Row],[ID]],INDIRECT("NOTA_.xlsx!"&amp;Table1[[#This Row],[1_h]]&amp;"[ID]"),0)),"")</f>
        <v>11727675.675675675</v>
      </c>
      <c r="M68" s="5">
        <f ca="1">IFERROR(INDEX(INDIRECT("NOTA_.xlsx!"&amp;Table1[[#This Row],[1_h]]&amp;"[ppn (11%)]"),MATCH(Table1[[#This Row],[ID]],INDIRECT("NOTA_.xlsx!"&amp;Table1[[#This Row],[1_h]]&amp;"[ID]"),0)),"")</f>
        <v>1290044.3243243243</v>
      </c>
      <c r="N68" s="5">
        <f ca="1">IFERROR(INDEX(INDIRECT("NOTA_.xlsx!"&amp;Table1[[#This Row],[1_h]]&amp;"[total]"),MATCH(Table1[[#This Row],[ID]],INDIRECT("NOTA_.xlsx!"&amp;Table1[[#This Row],[1_h]]&amp;"[ID]"),0)),"")</f>
        <v>13017720</v>
      </c>
      <c r="O68" s="59" t="str">
        <f ca="1">IF(Table1[[#This Row],[NAMA SUPPLIER]]="","",INDEX(conv1[2],MATCH(Table1[[#This Row],[NAMA SUPPLIER]],conv1[1],0)))</f>
        <v>KENKO</v>
      </c>
      <c r="P68" s="4">
        <f ca="1">IF(Table1[[#This Row],[NO. INVOICE]]="","",_xlfn.IFNA(MATCH(Table1[[#This Row],[NO. INVOICE]],'[3]REKAP PEMBELIAN'!$C:$C,0),MATCH(VALUE(Table1[[#This Row],[NO. INVOICE]]),'[3]REKAP PEMBELIAN'!$C:$C,0)))</f>
        <v>437</v>
      </c>
    </row>
    <row r="69" spans="1:16" x14ac:dyDescent="0.25">
      <c r="A69" s="6">
        <f ca="1">IF(Table1[[#This Row],[NAMA SUPPLIER]]="","",MATCH(Table1[[#This Row],[N_ID]],INDIRECT(Table1[[#This Row],[1_h]]&amp;"[N_ID]"),0))</f>
        <v>126</v>
      </c>
      <c r="B69" s="2" t="s">
        <v>84</v>
      </c>
      <c r="C69" s="6">
        <f ca="1">_xlfn.IFNA(INDEX([6]!PAJAK[ID],MATCH(Table1[[#This Row],[N_ID]],[6]!PAJAK[ID_P],0)),"")</f>
        <v>122</v>
      </c>
      <c r="D69" s="6">
        <f ca="1">IF(Table1[[#This Row],[ID]]="","",INDEX([6]!PAJAK[QB],MATCH(Table1[[#This Row],[ID]],[6]!PAJAK[ID],0)))</f>
        <v>11</v>
      </c>
      <c r="E69" s="3">
        <f ca="1">INDEX([6]!PAJAK[TGL.MASUK],MATCH(Table1[[#This Row],[ID]],[6]!PAJAK[ID],0))</f>
        <v>44762</v>
      </c>
      <c r="F69" s="3">
        <f ca="1">INDEX([6]!PAJAK[TGL.NOTA],MATCH(Table1[[#This Row],[ID]],[6]!PAJAK[ID],0))</f>
        <v>44757</v>
      </c>
      <c r="G69" s="6" t="str">
        <f ca="1">INDEX([6]!PAJAK[NO.NOTA],MATCH(Table1[[#This Row],[ID]],[6]!PAJAK[ID],0))</f>
        <v>22071356</v>
      </c>
      <c r="I69" s="4" t="str">
        <f ca="1">INDEX([6]!PAJAK[SUPPLIER],MATCH(Table1[[#This Row],[ID]],[6]!PAJAK[ID],0))</f>
        <v>PT KENKO SINAR INDONESIA</v>
      </c>
      <c r="J69" s="5">
        <f ca="1">IFERROR(INDEX(INDIRECT("NOTA_.xlsx!"&amp;Table1[[#This Row],[1_h]]&amp;"[sub total]"),MATCH(Table1[[#This Row],[ID]],INDIRECT("NOTA_.xlsx!"&amp;Table1[[#This Row],[1_h]]&amp;"[ID]"),0)),"")</f>
        <v>50042400</v>
      </c>
      <c r="K69" s="5">
        <f ca="1">IFERROR(INDEX(INDIRECT("NOTA_.xlsx!"&amp;Table1[[#This Row],[1_h]]&amp;"[diskon]"),MATCH(Table1[[#This Row],[ID]],INDIRECT("NOTA_.xlsx!"&amp;Table1[[#This Row],[1_h]]&amp;"[ID]"),0)),"")</f>
        <v>8507208</v>
      </c>
      <c r="L69" s="5">
        <f ca="1">IFERROR(INDEX(INDIRECT("NOTA_.xlsx!"&amp;Table1[[#This Row],[1_h]]&amp;"[Dpp]"),MATCH(Table1[[#This Row],[ID]],INDIRECT("NOTA_.xlsx!"&amp;Table1[[#This Row],[1_h]]&amp;"[ID]"),0)),"")</f>
        <v>37419091.891891889</v>
      </c>
      <c r="M69" s="5">
        <f ca="1">IFERROR(INDEX(INDIRECT("NOTA_.xlsx!"&amp;Table1[[#This Row],[1_h]]&amp;"[ppn (11%)]"),MATCH(Table1[[#This Row],[ID]],INDIRECT("NOTA_.xlsx!"&amp;Table1[[#This Row],[1_h]]&amp;"[ID]"),0)),"")</f>
        <v>4116100.1081081079</v>
      </c>
      <c r="N69" s="5">
        <f ca="1">IFERROR(INDEX(INDIRECT("NOTA_.xlsx!"&amp;Table1[[#This Row],[1_h]]&amp;"[total]"),MATCH(Table1[[#This Row],[ID]],INDIRECT("NOTA_.xlsx!"&amp;Table1[[#This Row],[1_h]]&amp;"[ID]"),0)),"")</f>
        <v>41535192</v>
      </c>
      <c r="O69" s="59" t="str">
        <f ca="1">IF(Table1[[#This Row],[NAMA SUPPLIER]]="","",INDEX(conv1[2],MATCH(Table1[[#This Row],[NAMA SUPPLIER]],conv1[1],0)))</f>
        <v>KENKO</v>
      </c>
      <c r="P69" s="4">
        <f ca="1">IF(Table1[[#This Row],[NO. INVOICE]]="","",_xlfn.IFNA(MATCH(Table1[[#This Row],[NO. INVOICE]],'[3]REKAP PEMBELIAN'!$C:$C,0),MATCH(VALUE(Table1[[#This Row],[NO. INVOICE]]),'[3]REKAP PEMBELIAN'!$C:$C,0)))</f>
        <v>438</v>
      </c>
    </row>
    <row r="70" spans="1:16" x14ac:dyDescent="0.25">
      <c r="A70" s="6">
        <f ca="1">IF(Table1[[#This Row],[NAMA SUPPLIER]]="","",MATCH(Table1[[#This Row],[N_ID]],INDIRECT(Table1[[#This Row],[1_h]]&amp;"[N_ID]"),0))</f>
        <v>138</v>
      </c>
      <c r="B70" s="2" t="s">
        <v>85</v>
      </c>
      <c r="C70" s="6">
        <f ca="1">_xlfn.IFNA(INDEX([6]!PAJAK[ID],MATCH(Table1[[#This Row],[N_ID]],[6]!PAJAK[ID_P],0)),"")</f>
        <v>121</v>
      </c>
      <c r="D70" s="6">
        <f ca="1">IF(Table1[[#This Row],[ID]]="","",INDEX([6]!PAJAK[QB],MATCH(Table1[[#This Row],[ID]],[6]!PAJAK[ID],0)))</f>
        <v>1</v>
      </c>
      <c r="E70" s="3">
        <f ca="1">INDEX([6]!PAJAK[TGL.MASUK],MATCH(Table1[[#This Row],[ID]],[6]!PAJAK[ID],0))</f>
        <v>44762</v>
      </c>
      <c r="F70" s="3">
        <f ca="1">INDEX([6]!PAJAK[TGL.NOTA],MATCH(Table1[[#This Row],[ID]],[6]!PAJAK[ID],0))</f>
        <v>44757</v>
      </c>
      <c r="G70" s="6" t="str">
        <f ca="1">INDEX([6]!PAJAK[NO.NOTA],MATCH(Table1[[#This Row],[ID]],[6]!PAJAK[ID],0))</f>
        <v>22071365</v>
      </c>
      <c r="I70" s="4" t="str">
        <f ca="1">INDEX([6]!PAJAK[SUPPLIER],MATCH(Table1[[#This Row],[ID]],[6]!PAJAK[ID],0))</f>
        <v>PT KENKO SINAR INDONESIA</v>
      </c>
      <c r="J70" s="5">
        <f ca="1">IFERROR(INDEX(INDIRECT("NOTA_.xlsx!"&amp;Table1[[#This Row],[1_h]]&amp;"[sub total]"),MATCH(Table1[[#This Row],[ID]],INDIRECT("NOTA_.xlsx!"&amp;Table1[[#This Row],[1_h]]&amp;"[ID]"),0)),"")</f>
        <v>1464000</v>
      </c>
      <c r="K70" s="5">
        <f ca="1">IFERROR(INDEX(INDIRECT("NOTA_.xlsx!"&amp;Table1[[#This Row],[1_h]]&amp;"[diskon]"),MATCH(Table1[[#This Row],[ID]],INDIRECT("NOTA_.xlsx!"&amp;Table1[[#This Row],[1_h]]&amp;"[ID]"),0)),"")</f>
        <v>248880.00000000003</v>
      </c>
      <c r="L70" s="5">
        <f ca="1">IFERROR(INDEX(INDIRECT("NOTA_.xlsx!"&amp;Table1[[#This Row],[1_h]]&amp;"[Dpp]"),MATCH(Table1[[#This Row],[ID]],INDIRECT("NOTA_.xlsx!"&amp;Table1[[#This Row],[1_h]]&amp;"[ID]"),0)),"")</f>
        <v>1094702.7027027027</v>
      </c>
      <c r="M70" s="5">
        <f ca="1">IFERROR(INDEX(INDIRECT("NOTA_.xlsx!"&amp;Table1[[#This Row],[1_h]]&amp;"[ppn (11%)]"),MATCH(Table1[[#This Row],[ID]],INDIRECT("NOTA_.xlsx!"&amp;Table1[[#This Row],[1_h]]&amp;"[ID]"),0)),"")</f>
        <v>120417.29729729729</v>
      </c>
      <c r="N70" s="5">
        <f ca="1">IFERROR(INDEX(INDIRECT("NOTA_.xlsx!"&amp;Table1[[#This Row],[1_h]]&amp;"[total]"),MATCH(Table1[[#This Row],[ID]],INDIRECT("NOTA_.xlsx!"&amp;Table1[[#This Row],[1_h]]&amp;"[ID]"),0)),"")</f>
        <v>1215120</v>
      </c>
      <c r="O70" s="59" t="str">
        <f ca="1">IF(Table1[[#This Row],[NAMA SUPPLIER]]="","",INDEX(conv1[2],MATCH(Table1[[#This Row],[NAMA SUPPLIER]],conv1[1],0)))</f>
        <v>KENKO</v>
      </c>
      <c r="P70" s="4">
        <f ca="1">IF(Table1[[#This Row],[NO. INVOICE]]="","",_xlfn.IFNA(MATCH(Table1[[#This Row],[NO. INVOICE]],'[3]REKAP PEMBELIAN'!$C:$C,0),MATCH(VALUE(Table1[[#This Row],[NO. INVOICE]]),'[3]REKAP PEMBELIAN'!$C:$C,0)))</f>
        <v>439</v>
      </c>
    </row>
    <row r="71" spans="1:16" x14ac:dyDescent="0.25">
      <c r="A71" s="6">
        <f ca="1">IF(Table1[[#This Row],[NAMA SUPPLIER]]="","",MATCH(Table1[[#This Row],[N_ID]],INDIRECT(Table1[[#This Row],[1_h]]&amp;"[N_ID]"),0))</f>
        <v>140</v>
      </c>
      <c r="B71" s="2" t="s">
        <v>86</v>
      </c>
      <c r="C71" s="6">
        <f ca="1">_xlfn.IFNA(INDEX([6]!PAJAK[ID],MATCH(Table1[[#This Row],[N_ID]],[6]!PAJAK[ID_P],0)),"")</f>
        <v>123</v>
      </c>
      <c r="D71" s="6">
        <f ca="1">IF(Table1[[#This Row],[ID]]="","",INDEX([6]!PAJAK[QB],MATCH(Table1[[#This Row],[ID]],[6]!PAJAK[ID],0)))</f>
        <v>4</v>
      </c>
      <c r="E71" s="3">
        <f ca="1">INDEX([6]!PAJAK[TGL.MASUK],MATCH(Table1[[#This Row],[ID]],[6]!PAJAK[ID],0))</f>
        <v>44762</v>
      </c>
      <c r="F71" s="3">
        <f ca="1">INDEX([6]!PAJAK[TGL.NOTA],MATCH(Table1[[#This Row],[ID]],[6]!PAJAK[ID],0))</f>
        <v>44758</v>
      </c>
      <c r="G71" s="6" t="str">
        <f ca="1">INDEX([6]!PAJAK[NO.NOTA],MATCH(Table1[[#This Row],[ID]],[6]!PAJAK[ID],0))</f>
        <v>22071481</v>
      </c>
      <c r="I71" s="4" t="str">
        <f ca="1">INDEX([6]!PAJAK[SUPPLIER],MATCH(Table1[[#This Row],[ID]],[6]!PAJAK[ID],0))</f>
        <v>PT KENKO SINAR INDONESIA</v>
      </c>
      <c r="J71" s="5">
        <f ca="1">IFERROR(INDEX(INDIRECT("NOTA_.xlsx!"&amp;Table1[[#This Row],[1_h]]&amp;"[sub total]"),MATCH(Table1[[#This Row],[ID]],INDIRECT("NOTA_.xlsx!"&amp;Table1[[#This Row],[1_h]]&amp;"[ID]"),0)),"")</f>
        <v>55802400</v>
      </c>
      <c r="K71" s="5">
        <f ca="1">IFERROR(INDEX(INDIRECT("NOTA_.xlsx!"&amp;Table1[[#This Row],[1_h]]&amp;"[diskon]"),MATCH(Table1[[#This Row],[ID]],INDIRECT("NOTA_.xlsx!"&amp;Table1[[#This Row],[1_h]]&amp;"[ID]"),0)),"")</f>
        <v>9486408</v>
      </c>
      <c r="L71" s="5">
        <f ca="1">IFERROR(INDEX(INDIRECT("NOTA_.xlsx!"&amp;Table1[[#This Row],[1_h]]&amp;"[Dpp]"),MATCH(Table1[[#This Row],[ID]],INDIRECT("NOTA_.xlsx!"&amp;Table1[[#This Row],[1_h]]&amp;"[ID]"),0)),"")</f>
        <v>41726118.918918915</v>
      </c>
      <c r="M71" s="5">
        <f ca="1">IFERROR(INDEX(INDIRECT("NOTA_.xlsx!"&amp;Table1[[#This Row],[1_h]]&amp;"[ppn (11%)]"),MATCH(Table1[[#This Row],[ID]],INDIRECT("NOTA_.xlsx!"&amp;Table1[[#This Row],[1_h]]&amp;"[ID]"),0)),"")</f>
        <v>4589873.0810810803</v>
      </c>
      <c r="N71" s="5">
        <f ca="1">IFERROR(INDEX(INDIRECT("NOTA_.xlsx!"&amp;Table1[[#This Row],[1_h]]&amp;"[total]"),MATCH(Table1[[#This Row],[ID]],INDIRECT("NOTA_.xlsx!"&amp;Table1[[#This Row],[1_h]]&amp;"[ID]"),0)),"")</f>
        <v>46315991.999999993</v>
      </c>
      <c r="O71" s="59" t="str">
        <f ca="1">IF(Table1[[#This Row],[NAMA SUPPLIER]]="","",INDEX(conv1[2],MATCH(Table1[[#This Row],[NAMA SUPPLIER]],conv1[1],0)))</f>
        <v>KENKO</v>
      </c>
      <c r="P71" s="4">
        <f ca="1">IF(Table1[[#This Row],[NO. INVOICE]]="","",_xlfn.IFNA(MATCH(Table1[[#This Row],[NO. INVOICE]],'[3]REKAP PEMBELIAN'!$C:$C,0),MATCH(VALUE(Table1[[#This Row],[NO. INVOICE]]),'[3]REKAP PEMBELIAN'!$C:$C,0)))</f>
        <v>440</v>
      </c>
    </row>
    <row r="72" spans="1:16" x14ac:dyDescent="0.25">
      <c r="A72" s="6">
        <f ca="1">IF(Table1[[#This Row],[NAMA SUPPLIER]]="","",MATCH(Table1[[#This Row],[N_ID]],INDIRECT(Table1[[#This Row],[1_h]]&amp;"[N_ID]"),0))</f>
        <v>145</v>
      </c>
      <c r="B72" s="2" t="s">
        <v>87</v>
      </c>
      <c r="C72" s="6">
        <f ca="1">_xlfn.IFNA(INDEX([6]!PAJAK[ID],MATCH(Table1[[#This Row],[N_ID]],[6]!PAJAK[ID_P],0)),"")</f>
        <v>120</v>
      </c>
      <c r="D72" s="6">
        <f ca="1">IF(Table1[[#This Row],[ID]]="","",INDEX([6]!PAJAK[QB],MATCH(Table1[[#This Row],[ID]],[6]!PAJAK[ID],0)))</f>
        <v>1</v>
      </c>
      <c r="E72" s="3">
        <f ca="1">INDEX([6]!PAJAK[TGL.MASUK],MATCH(Table1[[#This Row],[ID]],[6]!PAJAK[ID],0))</f>
        <v>44762</v>
      </c>
      <c r="F72" s="3">
        <f ca="1">INDEX([6]!PAJAK[TGL.NOTA],MATCH(Table1[[#This Row],[ID]],[6]!PAJAK[ID],0))</f>
        <v>44758</v>
      </c>
      <c r="G72" s="6" t="str">
        <f ca="1">INDEX([6]!PAJAK[NO.NOTA],MATCH(Table1[[#This Row],[ID]],[6]!PAJAK[ID],0))</f>
        <v>22071517</v>
      </c>
      <c r="I72" s="4" t="str">
        <f ca="1">INDEX([6]!PAJAK[SUPPLIER],MATCH(Table1[[#This Row],[ID]],[6]!PAJAK[ID],0))</f>
        <v>PT KENKO SINAR INDONESIA</v>
      </c>
      <c r="J72" s="5">
        <f ca="1">IFERROR(INDEX(INDIRECT("NOTA_.xlsx!"&amp;Table1[[#This Row],[1_h]]&amp;"[sub total]"),MATCH(Table1[[#This Row],[ID]],INDIRECT("NOTA_.xlsx!"&amp;Table1[[#This Row],[1_h]]&amp;"[ID]"),0)),"")</f>
        <v>4500000</v>
      </c>
      <c r="K72" s="5">
        <f ca="1">IFERROR(INDEX(INDIRECT("NOTA_.xlsx!"&amp;Table1[[#This Row],[1_h]]&amp;"[diskon]"),MATCH(Table1[[#This Row],[ID]],INDIRECT("NOTA_.xlsx!"&amp;Table1[[#This Row],[1_h]]&amp;"[ID]"),0)),"")</f>
        <v>765000</v>
      </c>
      <c r="L72" s="5">
        <f ca="1">IFERROR(INDEX(INDIRECT("NOTA_.xlsx!"&amp;Table1[[#This Row],[1_h]]&amp;"[Dpp]"),MATCH(Table1[[#This Row],[ID]],INDIRECT("NOTA_.xlsx!"&amp;Table1[[#This Row],[1_h]]&amp;"[ID]"),0)),"")</f>
        <v>3364864.8648648644</v>
      </c>
      <c r="M72" s="5">
        <f ca="1">IFERROR(INDEX(INDIRECT("NOTA_.xlsx!"&amp;Table1[[#This Row],[1_h]]&amp;"[ppn (11%)]"),MATCH(Table1[[#This Row],[ID]],INDIRECT("NOTA_.xlsx!"&amp;Table1[[#This Row],[1_h]]&amp;"[ID]"),0)),"")</f>
        <v>370135.13513513509</v>
      </c>
      <c r="N72" s="5">
        <f ca="1">IFERROR(INDEX(INDIRECT("NOTA_.xlsx!"&amp;Table1[[#This Row],[1_h]]&amp;"[total]"),MATCH(Table1[[#This Row],[ID]],INDIRECT("NOTA_.xlsx!"&amp;Table1[[#This Row],[1_h]]&amp;"[ID]"),0)),"")</f>
        <v>3734999.9999999995</v>
      </c>
      <c r="O72" s="59" t="str">
        <f ca="1">IF(Table1[[#This Row],[NAMA SUPPLIER]]="","",INDEX(conv1[2],MATCH(Table1[[#This Row],[NAMA SUPPLIER]],conv1[1],0)))</f>
        <v>KENKO</v>
      </c>
      <c r="P72" s="4">
        <f ca="1">IF(Table1[[#This Row],[NO. INVOICE]]="","",_xlfn.IFNA(MATCH(Table1[[#This Row],[NO. INVOICE]],'[3]REKAP PEMBELIAN'!$C:$C,0),MATCH(VALUE(Table1[[#This Row],[NO. INVOICE]]),'[3]REKAP PEMBELIAN'!$C:$C,0)))</f>
        <v>441</v>
      </c>
    </row>
    <row r="73" spans="1:16" x14ac:dyDescent="0.25">
      <c r="A73" s="6">
        <f ca="1">IF(Table1[[#This Row],[NAMA SUPPLIER]]="","",MATCH(Table1[[#This Row],[N_ID]],INDIRECT(Table1[[#This Row],[1_h]]&amp;"[N_ID]"),0))</f>
        <v>147</v>
      </c>
      <c r="B73" s="2" t="s">
        <v>90</v>
      </c>
      <c r="C73" s="6">
        <f ca="1">_xlfn.IFNA(INDEX([6]!PAJAK[ID],MATCH(Table1[[#This Row],[N_ID]],[6]!PAJAK[ID_P],0)),"")</f>
        <v>111</v>
      </c>
      <c r="D73" s="6">
        <f ca="1">IF(Table1[[#This Row],[ID]]="","",INDEX([6]!PAJAK[QB],MATCH(Table1[[#This Row],[ID]],[6]!PAJAK[ID],0)))</f>
        <v>10</v>
      </c>
      <c r="E73" s="3">
        <f ca="1">INDEX([6]!PAJAK[TGL.MASUK],MATCH(Table1[[#This Row],[ID]],[6]!PAJAK[ID],0))</f>
        <v>44762</v>
      </c>
      <c r="F73" s="3">
        <f ca="1">INDEX([6]!PAJAK[TGL.NOTA],MATCH(Table1[[#This Row],[ID]],[6]!PAJAK[ID],0))</f>
        <v>44760</v>
      </c>
      <c r="G73" s="6" t="str">
        <f ca="1">INDEX([6]!PAJAK[NO.NOTA],MATCH(Table1[[#This Row],[ID]],[6]!PAJAK[ID],0))</f>
        <v>22071603</v>
      </c>
      <c r="I73" s="4" t="str">
        <f ca="1">INDEX([6]!PAJAK[SUPPLIER],MATCH(Table1[[#This Row],[ID]],[6]!PAJAK[ID],0))</f>
        <v>PT KENKO SINAR INDONESIA</v>
      </c>
      <c r="J73" s="5">
        <f ca="1">IFERROR(INDEX(INDIRECT("NOTA_.xlsx!"&amp;Table1[[#This Row],[1_h]]&amp;"[sub total]"),MATCH(Table1[[#This Row],[ID]],INDIRECT("NOTA_.xlsx!"&amp;Table1[[#This Row],[1_h]]&amp;"[ID]"),0)),"")</f>
        <v>94537200</v>
      </c>
      <c r="K73" s="5">
        <f ca="1">IFERROR(INDEX(INDIRECT("NOTA_.xlsx!"&amp;Table1[[#This Row],[1_h]]&amp;"[diskon]"),MATCH(Table1[[#This Row],[ID]],INDIRECT("NOTA_.xlsx!"&amp;Table1[[#This Row],[1_h]]&amp;"[ID]"),0)),"")</f>
        <v>16071324</v>
      </c>
      <c r="L73" s="5">
        <f ca="1">IFERROR(INDEX(INDIRECT("NOTA_.xlsx!"&amp;Table1[[#This Row],[1_h]]&amp;"[Dpp]"),MATCH(Table1[[#This Row],[ID]],INDIRECT("NOTA_.xlsx!"&amp;Table1[[#This Row],[1_h]]&amp;"[ID]"),0)),"")</f>
        <v>70689978.378378376</v>
      </c>
      <c r="M73" s="5">
        <f ca="1">IFERROR(INDEX(INDIRECT("NOTA_.xlsx!"&amp;Table1[[#This Row],[1_h]]&amp;"[ppn (11%)]"),MATCH(Table1[[#This Row],[ID]],INDIRECT("NOTA_.xlsx!"&amp;Table1[[#This Row],[1_h]]&amp;"[ID]"),0)),"")</f>
        <v>7775897.6216216218</v>
      </c>
      <c r="N73" s="5">
        <f ca="1">IFERROR(INDEX(INDIRECT("NOTA_.xlsx!"&amp;Table1[[#This Row],[1_h]]&amp;"[total]"),MATCH(Table1[[#This Row],[ID]],INDIRECT("NOTA_.xlsx!"&amp;Table1[[#This Row],[1_h]]&amp;"[ID]"),0)),"")</f>
        <v>78465876</v>
      </c>
      <c r="O73" s="59" t="str">
        <f ca="1">IF(Table1[[#This Row],[NAMA SUPPLIER]]="","",INDEX(conv1[2],MATCH(Table1[[#This Row],[NAMA SUPPLIER]],conv1[1],0)))</f>
        <v>KENKO</v>
      </c>
      <c r="P73" s="4">
        <f ca="1">IF(Table1[[#This Row],[NO. INVOICE]]="","",_xlfn.IFNA(MATCH(Table1[[#This Row],[NO. INVOICE]],'[3]REKAP PEMBELIAN'!$C:$C,0),MATCH(VALUE(Table1[[#This Row],[NO. INVOICE]]),'[3]REKAP PEMBELIAN'!$C:$C,0)))</f>
        <v>442</v>
      </c>
    </row>
    <row r="74" spans="1:16" x14ac:dyDescent="0.25">
      <c r="A74" s="6">
        <f ca="1">IF(Table1[[#This Row],[NAMA SUPPLIER]]="","",MATCH(Table1[[#This Row],[N_ID]],INDIRECT(Table1[[#This Row],[1_h]]&amp;"[N_ID]"),0))</f>
        <v>158</v>
      </c>
      <c r="B74" s="2" t="s">
        <v>91</v>
      </c>
      <c r="C74" s="6">
        <f ca="1">_xlfn.IFNA(INDEX([6]!PAJAK[ID],MATCH(Table1[[#This Row],[N_ID]],[6]!PAJAK[ID_P],0)),"")</f>
        <v>128</v>
      </c>
      <c r="D74" s="6">
        <f ca="1">IF(Table1[[#This Row],[ID]]="","",INDEX([6]!PAJAK[QB],MATCH(Table1[[#This Row],[ID]],[6]!PAJAK[ID],0)))</f>
        <v>1</v>
      </c>
      <c r="E74" s="3">
        <f ca="1">INDEX([6]!PAJAK[TGL.MASUK],MATCH(Table1[[#This Row],[ID]],[6]!PAJAK[ID],0))</f>
        <v>44764</v>
      </c>
      <c r="F74" s="3">
        <f ca="1">INDEX([6]!PAJAK[TGL.NOTA],MATCH(Table1[[#This Row],[ID]],[6]!PAJAK[ID],0))</f>
        <v>44761</v>
      </c>
      <c r="G74" s="6" t="str">
        <f ca="1">INDEX([6]!PAJAK[NO.NOTA],MATCH(Table1[[#This Row],[ID]],[6]!PAJAK[ID],0))</f>
        <v>22071675</v>
      </c>
      <c r="I74" s="4" t="str">
        <f ca="1">INDEX([6]!PAJAK[SUPPLIER],MATCH(Table1[[#This Row],[ID]],[6]!PAJAK[ID],0))</f>
        <v>PT KENKO SINAR INDONESIA</v>
      </c>
      <c r="J74" s="5">
        <f ca="1">IFERROR(INDEX(INDIRECT("NOTA_.xlsx!"&amp;Table1[[#This Row],[1_h]]&amp;"[sub total]"),MATCH(Table1[[#This Row],[ID]],INDIRECT("NOTA_.xlsx!"&amp;Table1[[#This Row],[1_h]]&amp;"[ID]"),0)),"")</f>
        <v>7992000</v>
      </c>
      <c r="K74" s="5">
        <f ca="1">IFERROR(INDEX(INDIRECT("NOTA_.xlsx!"&amp;Table1[[#This Row],[1_h]]&amp;"[diskon]"),MATCH(Table1[[#This Row],[ID]],INDIRECT("NOTA_.xlsx!"&amp;Table1[[#This Row],[1_h]]&amp;"[ID]"),0)),"")</f>
        <v>1358640</v>
      </c>
      <c r="L74" s="5">
        <f ca="1">IFERROR(INDEX(INDIRECT("NOTA_.xlsx!"&amp;Table1[[#This Row],[1_h]]&amp;"[Dpp]"),MATCH(Table1[[#This Row],[ID]],INDIRECT("NOTA_.xlsx!"&amp;Table1[[#This Row],[1_h]]&amp;"[ID]"),0)),"")</f>
        <v>5975999.9999999991</v>
      </c>
      <c r="M74" s="5">
        <f ca="1">IFERROR(INDEX(INDIRECT("NOTA_.xlsx!"&amp;Table1[[#This Row],[1_h]]&amp;"[ppn (11%)]"),MATCH(Table1[[#This Row],[ID]],INDIRECT("NOTA_.xlsx!"&amp;Table1[[#This Row],[1_h]]&amp;"[ID]"),0)),"")</f>
        <v>657359.99999999988</v>
      </c>
      <c r="N74" s="5">
        <f ca="1">IFERROR(INDEX(INDIRECT("NOTA_.xlsx!"&amp;Table1[[#This Row],[1_h]]&amp;"[total]"),MATCH(Table1[[#This Row],[ID]],INDIRECT("NOTA_.xlsx!"&amp;Table1[[#This Row],[1_h]]&amp;"[ID]"),0)),"")</f>
        <v>6633359.9999999991</v>
      </c>
      <c r="O74" s="59" t="str">
        <f ca="1">IF(Table1[[#This Row],[NAMA SUPPLIER]]="","",INDEX(conv1[2],MATCH(Table1[[#This Row],[NAMA SUPPLIER]],conv1[1],0)))</f>
        <v>KENKO</v>
      </c>
      <c r="P74" s="4">
        <f ca="1">IF(Table1[[#This Row],[NO. INVOICE]]="","",_xlfn.IFNA(MATCH(Table1[[#This Row],[NO. INVOICE]],'[3]REKAP PEMBELIAN'!$C:$C,0),MATCH(VALUE(Table1[[#This Row],[NO. INVOICE]]),'[3]REKAP PEMBELIAN'!$C:$C,0)))</f>
        <v>443</v>
      </c>
    </row>
    <row r="75" spans="1:16" x14ac:dyDescent="0.25">
      <c r="A75" s="6">
        <f ca="1">IF(Table1[[#This Row],[NAMA SUPPLIER]]="","",MATCH(Table1[[#This Row],[N_ID]],INDIRECT(Table1[[#This Row],[1_h]]&amp;"[N_ID]"),0))</f>
        <v>160</v>
      </c>
      <c r="B75" s="2" t="s">
        <v>92</v>
      </c>
      <c r="C75" s="6">
        <f ca="1">_xlfn.IFNA(INDEX([6]!PAJAK[ID],MATCH(Table1[[#This Row],[N_ID]],[6]!PAJAK[ID_P],0)),"")</f>
        <v>127</v>
      </c>
      <c r="D75" s="6">
        <f ca="1">IF(Table1[[#This Row],[ID]]="","",INDEX([6]!PAJAK[QB],MATCH(Table1[[#This Row],[ID]],[6]!PAJAK[ID],0)))</f>
        <v>3</v>
      </c>
      <c r="E75" s="3">
        <f ca="1">INDEX([6]!PAJAK[TGL.MASUK],MATCH(Table1[[#This Row],[ID]],[6]!PAJAK[ID],0))</f>
        <v>44764</v>
      </c>
      <c r="F75" s="3">
        <f ca="1">INDEX([6]!PAJAK[TGL.NOTA],MATCH(Table1[[#This Row],[ID]],[6]!PAJAK[ID],0))</f>
        <v>44762</v>
      </c>
      <c r="G75" s="6" t="str">
        <f ca="1">INDEX([6]!PAJAK[NO.NOTA],MATCH(Table1[[#This Row],[ID]],[6]!PAJAK[ID],0))</f>
        <v>22071836</v>
      </c>
      <c r="I75" s="4" t="str">
        <f ca="1">INDEX([6]!PAJAK[SUPPLIER],MATCH(Table1[[#This Row],[ID]],[6]!PAJAK[ID],0))</f>
        <v>PT KENKO SINAR INDONESIA</v>
      </c>
      <c r="J75" s="5">
        <f ca="1">IFERROR(INDEX(INDIRECT("NOTA_.xlsx!"&amp;Table1[[#This Row],[1_h]]&amp;"[sub total]"),MATCH(Table1[[#This Row],[ID]],INDIRECT("NOTA_.xlsx!"&amp;Table1[[#This Row],[1_h]]&amp;"[ID]"),0)),"")</f>
        <v>17346000</v>
      </c>
      <c r="K75" s="5">
        <f ca="1">IFERROR(INDEX(INDIRECT("NOTA_.xlsx!"&amp;Table1[[#This Row],[1_h]]&amp;"[diskon]"),MATCH(Table1[[#This Row],[ID]],INDIRECT("NOTA_.xlsx!"&amp;Table1[[#This Row],[1_h]]&amp;"[ID]"),0)),"")</f>
        <v>2948820</v>
      </c>
      <c r="L75" s="5">
        <f ca="1">IFERROR(INDEX(INDIRECT("NOTA_.xlsx!"&amp;Table1[[#This Row],[1_h]]&amp;"[Dpp]"),MATCH(Table1[[#This Row],[ID]],INDIRECT("NOTA_.xlsx!"&amp;Table1[[#This Row],[1_h]]&amp;"[ID]"),0)),"")</f>
        <v>12970432.432432432</v>
      </c>
      <c r="M75" s="5">
        <f ca="1">IFERROR(INDEX(INDIRECT("NOTA_.xlsx!"&amp;Table1[[#This Row],[1_h]]&amp;"[ppn (11%)]"),MATCH(Table1[[#This Row],[ID]],INDIRECT("NOTA_.xlsx!"&amp;Table1[[#This Row],[1_h]]&amp;"[ID]"),0)),"")</f>
        <v>1426747.5675675676</v>
      </c>
      <c r="N75" s="5">
        <f ca="1">IFERROR(INDEX(INDIRECT("NOTA_.xlsx!"&amp;Table1[[#This Row],[1_h]]&amp;"[total]"),MATCH(Table1[[#This Row],[ID]],INDIRECT("NOTA_.xlsx!"&amp;Table1[[#This Row],[1_h]]&amp;"[ID]"),0)),"")</f>
        <v>14397180</v>
      </c>
      <c r="O75" s="59" t="str">
        <f ca="1">IF(Table1[[#This Row],[NAMA SUPPLIER]]="","",INDEX(conv1[2],MATCH(Table1[[#This Row],[NAMA SUPPLIER]],conv1[1],0)))</f>
        <v>KENKO</v>
      </c>
      <c r="P75" s="4">
        <f ca="1">IF(Table1[[#This Row],[NO. INVOICE]]="","",_xlfn.IFNA(MATCH(Table1[[#This Row],[NO. INVOICE]],'[3]REKAP PEMBELIAN'!$C:$C,0),MATCH(VALUE(Table1[[#This Row],[NO. INVOICE]]),'[3]REKAP PEMBELIAN'!$C:$C,0)))</f>
        <v>444</v>
      </c>
    </row>
    <row r="76" spans="1:16" x14ac:dyDescent="0.25">
      <c r="A76" s="6">
        <f ca="1">IF(Table1[[#This Row],[NAMA SUPPLIER]]="","",MATCH(Table1[[#This Row],[N_ID]],INDIRECT(Table1[[#This Row],[1_h]]&amp;"[N_ID]"),0))</f>
        <v>164</v>
      </c>
      <c r="B76" s="2" t="s">
        <v>116</v>
      </c>
      <c r="C76" s="6">
        <f ca="1">_xlfn.IFNA(INDEX([6]!PAJAK[ID],MATCH(Table1[[#This Row],[N_ID]],[6]!PAJAK[ID_P],0)),"")</f>
        <v>138</v>
      </c>
      <c r="D76" s="6">
        <f ca="1">IF(Table1[[#This Row],[ID]]="","",INDEX([6]!PAJAK[QB],MATCH(Table1[[#This Row],[ID]],[6]!PAJAK[ID],0)))</f>
        <v>10</v>
      </c>
      <c r="E76" s="3">
        <f ca="1">INDEX([6]!PAJAK[TGL.MASUK],MATCH(Table1[[#This Row],[ID]],[6]!PAJAK[ID],0))</f>
        <v>44767</v>
      </c>
      <c r="F76" s="3">
        <f ca="1">INDEX([6]!PAJAK[TGL.NOTA],MATCH(Table1[[#This Row],[ID]],[6]!PAJAK[ID],0))</f>
        <v>44763</v>
      </c>
      <c r="G76" s="6" t="str">
        <f ca="1">INDEX([6]!PAJAK[NO.NOTA],MATCH(Table1[[#This Row],[ID]],[6]!PAJAK[ID],0))</f>
        <v>22071971</v>
      </c>
      <c r="I76" s="4" t="str">
        <f ca="1">INDEX([6]!PAJAK[SUPPLIER],MATCH(Table1[[#This Row],[ID]],[6]!PAJAK[ID],0))</f>
        <v>PT KENKO SINAR INDONESIA</v>
      </c>
      <c r="J76" s="5">
        <f ca="1">IFERROR(INDEX(INDIRECT("NOTA_.xlsx!"&amp;Table1[[#This Row],[1_h]]&amp;"[sub total]"),MATCH(Table1[[#This Row],[ID]],INDIRECT("NOTA_.xlsx!"&amp;Table1[[#This Row],[1_h]]&amp;"[ID]"),0)),"")</f>
        <v>66192600</v>
      </c>
      <c r="K76" s="5">
        <f ca="1">IFERROR(INDEX(INDIRECT("NOTA_.xlsx!"&amp;Table1[[#This Row],[1_h]]&amp;"[diskon]"),MATCH(Table1[[#This Row],[ID]],INDIRECT("NOTA_.xlsx!"&amp;Table1[[#This Row],[1_h]]&amp;"[ID]"),0)),"")</f>
        <v>11252742</v>
      </c>
      <c r="L76" s="5">
        <f ca="1">IFERROR(INDEX(INDIRECT("NOTA_.xlsx!"&amp;Table1[[#This Row],[1_h]]&amp;"[Dpp]"),MATCH(Table1[[#This Row],[ID]],INDIRECT("NOTA_.xlsx!"&amp;Table1[[#This Row],[1_h]]&amp;"[ID]"),0)),"")</f>
        <v>49495367.567567565</v>
      </c>
      <c r="M76" s="5">
        <f ca="1">IFERROR(INDEX(INDIRECT("NOTA_.xlsx!"&amp;Table1[[#This Row],[1_h]]&amp;"[ppn (11%)]"),MATCH(Table1[[#This Row],[ID]],INDIRECT("NOTA_.xlsx!"&amp;Table1[[#This Row],[1_h]]&amp;"[ID]"),0)),"")</f>
        <v>5444490.4324324317</v>
      </c>
      <c r="N76" s="5">
        <f ca="1">IFERROR(INDEX(INDIRECT("NOTA_.xlsx!"&amp;Table1[[#This Row],[1_h]]&amp;"[total]"),MATCH(Table1[[#This Row],[ID]],INDIRECT("NOTA_.xlsx!"&amp;Table1[[#This Row],[1_h]]&amp;"[ID]"),0)),"")</f>
        <v>54939858</v>
      </c>
      <c r="O76" s="59" t="str">
        <f ca="1">IF(Table1[[#This Row],[NAMA SUPPLIER]]="","",INDEX(conv1[2],MATCH(Table1[[#This Row],[NAMA SUPPLIER]],conv1[1],0)))</f>
        <v>KENKO</v>
      </c>
      <c r="P76" s="4">
        <f ca="1">IF(Table1[[#This Row],[NO. INVOICE]]="","",_xlfn.IFNA(MATCH(Table1[[#This Row],[NO. INVOICE]],'[3]REKAP PEMBELIAN'!$C:$C,0),MATCH(VALUE(Table1[[#This Row],[NO. INVOICE]]),'[3]REKAP PEMBELIAN'!$C:$C,0)))</f>
        <v>445</v>
      </c>
    </row>
    <row r="77" spans="1:16" x14ac:dyDescent="0.25">
      <c r="A77" s="6">
        <f ca="1">IF(Table1[[#This Row],[NAMA SUPPLIER]]="","",MATCH(Table1[[#This Row],[N_ID]],INDIRECT(Table1[[#This Row],[1_h]]&amp;"[N_ID]"),0))</f>
        <v>175</v>
      </c>
      <c r="B77" s="2" t="s">
        <v>117</v>
      </c>
      <c r="C77" s="6">
        <f ca="1">_xlfn.IFNA(INDEX([6]!PAJAK[ID],MATCH(Table1[[#This Row],[N_ID]],[6]!PAJAK[ID_P],0)),"")</f>
        <v>139</v>
      </c>
      <c r="D77" s="6">
        <f ca="1">IF(Table1[[#This Row],[ID]]="","",INDEX([6]!PAJAK[QB],MATCH(Table1[[#This Row],[ID]],[6]!PAJAK[ID],0)))</f>
        <v>10</v>
      </c>
      <c r="E77" s="3">
        <f ca="1">INDEX([6]!PAJAK[TGL.MASUK],MATCH(Table1[[#This Row],[ID]],[6]!PAJAK[ID],0))</f>
        <v>44767</v>
      </c>
      <c r="F77" s="3">
        <f ca="1">INDEX([6]!PAJAK[TGL.NOTA],MATCH(Table1[[#This Row],[ID]],[6]!PAJAK[ID],0))</f>
        <v>44763</v>
      </c>
      <c r="G77" s="6" t="str">
        <f ca="1">INDEX([6]!PAJAK[NO.NOTA],MATCH(Table1[[#This Row],[ID]],[6]!PAJAK[ID],0))</f>
        <v>22071979</v>
      </c>
      <c r="I77" s="4" t="str">
        <f ca="1">INDEX([6]!PAJAK[SUPPLIER],MATCH(Table1[[#This Row],[ID]],[6]!PAJAK[ID],0))</f>
        <v>PT KENKO SINAR INDONESIA</v>
      </c>
      <c r="J77" s="5">
        <f ca="1">IFERROR(INDEX(INDIRECT("NOTA_.xlsx!"&amp;Table1[[#This Row],[1_h]]&amp;"[sub total]"),MATCH(Table1[[#This Row],[ID]],INDIRECT("NOTA_.xlsx!"&amp;Table1[[#This Row],[1_h]]&amp;"[ID]"),0)),"")</f>
        <v>73582400</v>
      </c>
      <c r="K77" s="5">
        <f ca="1">IFERROR(INDEX(INDIRECT("NOTA_.xlsx!"&amp;Table1[[#This Row],[1_h]]&amp;"[diskon]"),MATCH(Table1[[#This Row],[ID]],INDIRECT("NOTA_.xlsx!"&amp;Table1[[#This Row],[1_h]]&amp;"[ID]"),0)),"")</f>
        <v>12509008</v>
      </c>
      <c r="L77" s="5">
        <f ca="1">IFERROR(INDEX(INDIRECT("NOTA_.xlsx!"&amp;Table1[[#This Row],[1_h]]&amp;"[Dpp]"),MATCH(Table1[[#This Row],[ID]],INDIRECT("NOTA_.xlsx!"&amp;Table1[[#This Row],[1_h]]&amp;"[ID]"),0)),"")</f>
        <v>55021073.873873867</v>
      </c>
      <c r="M77" s="5">
        <f ca="1">IFERROR(INDEX(INDIRECT("NOTA_.xlsx!"&amp;Table1[[#This Row],[1_h]]&amp;"[ppn (11%)]"),MATCH(Table1[[#This Row],[ID]],INDIRECT("NOTA_.xlsx!"&amp;Table1[[#This Row],[1_h]]&amp;"[ID]"),0)),"")</f>
        <v>6052318.1261261255</v>
      </c>
      <c r="N77" s="5">
        <f ca="1">IFERROR(INDEX(INDIRECT("NOTA_.xlsx!"&amp;Table1[[#This Row],[1_h]]&amp;"[total]"),MATCH(Table1[[#This Row],[ID]],INDIRECT("NOTA_.xlsx!"&amp;Table1[[#This Row],[1_h]]&amp;"[ID]"),0)),"")</f>
        <v>61073391.999999993</v>
      </c>
      <c r="O77" s="59" t="str">
        <f ca="1">IF(Table1[[#This Row],[NAMA SUPPLIER]]="","",INDEX(conv1[2],MATCH(Table1[[#This Row],[NAMA SUPPLIER]],conv1[1],0)))</f>
        <v>KENKO</v>
      </c>
      <c r="P77" s="4">
        <f ca="1">IF(Table1[[#This Row],[NO. INVOICE]]="","",_xlfn.IFNA(MATCH(Table1[[#This Row],[NO. INVOICE]],'[3]REKAP PEMBELIAN'!$C:$C,0),MATCH(VALUE(Table1[[#This Row],[NO. INVOICE]]),'[3]REKAP PEMBELIAN'!$C:$C,0)))</f>
        <v>446</v>
      </c>
    </row>
    <row r="78" spans="1:16" x14ac:dyDescent="0.25">
      <c r="A78" s="6">
        <f ca="1">IF(Table1[[#This Row],[NAMA SUPPLIER]]="","",MATCH(Table1[[#This Row],[N_ID]],INDIRECT(Table1[[#This Row],[1_h]]&amp;"[N_ID]"),0))</f>
        <v>186</v>
      </c>
      <c r="B78" s="2" t="s">
        <v>118</v>
      </c>
      <c r="C78" s="6">
        <f ca="1">_xlfn.IFNA(INDEX([6]!PAJAK[ID],MATCH(Table1[[#This Row],[N_ID]],[6]!PAJAK[ID_P],0)),"")</f>
        <v>140</v>
      </c>
      <c r="D78" s="6">
        <f ca="1">IF(Table1[[#This Row],[ID]]="","",INDEX([6]!PAJAK[QB],MATCH(Table1[[#This Row],[ID]],[6]!PAJAK[ID],0)))</f>
        <v>7</v>
      </c>
      <c r="E78" s="3">
        <f ca="1">INDEX([6]!PAJAK[TGL.MASUK],MATCH(Table1[[#This Row],[ID]],[6]!PAJAK[ID],0))</f>
        <v>44767</v>
      </c>
      <c r="F78" s="3">
        <f ca="1">INDEX([6]!PAJAK[TGL.NOTA],MATCH(Table1[[#This Row],[ID]],[6]!PAJAK[ID],0))</f>
        <v>44763</v>
      </c>
      <c r="G78" s="6" t="str">
        <f ca="1">INDEX([6]!PAJAK[NO.NOTA],MATCH(Table1[[#This Row],[ID]],[6]!PAJAK[ID],0))</f>
        <v>22071988</v>
      </c>
      <c r="I78" s="4" t="str">
        <f ca="1">INDEX([6]!PAJAK[SUPPLIER],MATCH(Table1[[#This Row],[ID]],[6]!PAJAK[ID],0))</f>
        <v>PT KENKO SINAR INDONESIA</v>
      </c>
      <c r="J78" s="5">
        <f ca="1">IFERROR(INDEX(INDIRECT("NOTA_.xlsx!"&amp;Table1[[#This Row],[1_h]]&amp;"[sub total]"),MATCH(Table1[[#This Row],[ID]],INDIRECT("NOTA_.xlsx!"&amp;Table1[[#This Row],[1_h]]&amp;"[ID]"),0)),"")</f>
        <v>21549200</v>
      </c>
      <c r="K78" s="5">
        <f ca="1">IFERROR(INDEX(INDIRECT("NOTA_.xlsx!"&amp;Table1[[#This Row],[1_h]]&amp;"[diskon]"),MATCH(Table1[[#This Row],[ID]],INDIRECT("NOTA_.xlsx!"&amp;Table1[[#This Row],[1_h]]&amp;"[ID]"),0)),"")</f>
        <v>3663364</v>
      </c>
      <c r="L78" s="5">
        <f ca="1">IFERROR(INDEX(INDIRECT("NOTA_.xlsx!"&amp;Table1[[#This Row],[1_h]]&amp;"[Dpp]"),MATCH(Table1[[#This Row],[ID]],INDIRECT("NOTA_.xlsx!"&amp;Table1[[#This Row],[1_h]]&amp;"[ID]"),0)),"")</f>
        <v>16113365.765765764</v>
      </c>
      <c r="M78" s="5">
        <f ca="1">IFERROR(INDEX(INDIRECT("NOTA_.xlsx!"&amp;Table1[[#This Row],[1_h]]&amp;"[ppn (11%)]"),MATCH(Table1[[#This Row],[ID]],INDIRECT("NOTA_.xlsx!"&amp;Table1[[#This Row],[1_h]]&amp;"[ID]"),0)),"")</f>
        <v>1772470.2342342341</v>
      </c>
      <c r="N78" s="5">
        <f ca="1">IFERROR(INDEX(INDIRECT("NOTA_.xlsx!"&amp;Table1[[#This Row],[1_h]]&amp;"[total]"),MATCH(Table1[[#This Row],[ID]],INDIRECT("NOTA_.xlsx!"&amp;Table1[[#This Row],[1_h]]&amp;"[ID]"),0)),"")</f>
        <v>17885835.999999996</v>
      </c>
      <c r="O78" s="59" t="str">
        <f ca="1">IF(Table1[[#This Row],[NAMA SUPPLIER]]="","",INDEX(conv1[2],MATCH(Table1[[#This Row],[NAMA SUPPLIER]],conv1[1],0)))</f>
        <v>KENKO</v>
      </c>
      <c r="P78" s="4">
        <f ca="1">IF(Table1[[#This Row],[NO. INVOICE]]="","",_xlfn.IFNA(MATCH(Table1[[#This Row],[NO. INVOICE]],'[3]REKAP PEMBELIAN'!$C:$C,0),MATCH(VALUE(Table1[[#This Row],[NO. INVOICE]]),'[3]REKAP PEMBELIAN'!$C:$C,0)))</f>
        <v>447</v>
      </c>
    </row>
    <row r="79" spans="1:16" s="50" customFormat="1" x14ac:dyDescent="0.25">
      <c r="A79" s="47">
        <f ca="1">IF(Table1[[#This Row],[NAMA SUPPLIER]]="","",MATCH(Table1[[#This Row],[N_ID]],INDIRECT(Table1[[#This Row],[1_h]]&amp;"[N_ID]"),0))</f>
        <v>194</v>
      </c>
      <c r="B79" s="48" t="s">
        <v>103</v>
      </c>
      <c r="C79" s="47">
        <f ca="1">_xlfn.IFNA(INDEX([6]!PAJAK[ID],MATCH(Table1[[#This Row],[N_ID]],[6]!PAJAK[ID_P],0)),"")</f>
        <v>149</v>
      </c>
      <c r="D79" s="47">
        <f ca="1">IF(Table1[[#This Row],[ID]]="","",INDEX([6]!PAJAK[QB],MATCH(Table1[[#This Row],[ID]],[6]!PAJAK[ID],0)))</f>
        <v>5</v>
      </c>
      <c r="E79" s="49">
        <f ca="1">INDEX([6]!PAJAK[TGL.MASUK],MATCH(Table1[[#This Row],[ID]],[6]!PAJAK[ID],0))</f>
        <v>44768</v>
      </c>
      <c r="F79" s="49">
        <f ca="1">INDEX([6]!PAJAK[TGL.NOTA],MATCH(Table1[[#This Row],[ID]],[6]!PAJAK[ID],0))</f>
        <v>44763</v>
      </c>
      <c r="G79" s="47" t="str">
        <f ca="1">INDEX([6]!PAJAK[NO.NOTA],MATCH(Table1[[#This Row],[ID]],[6]!PAJAK[ID],0))</f>
        <v>22072109</v>
      </c>
      <c r="I79" s="51" t="str">
        <f ca="1">INDEX([6]!PAJAK[SUPPLIER],MATCH(Table1[[#This Row],[ID]],[6]!PAJAK[ID],0))</f>
        <v>PT KENKO SINAR INDONESIA</v>
      </c>
      <c r="J79" s="52">
        <f ca="1">IFERROR(INDEX(INDIRECT("NOTA_.xlsx!"&amp;Table1[[#This Row],[1_h]]&amp;"[sub total]"),MATCH(Table1[[#This Row],[ID]],INDIRECT("NOTA_.xlsx!"&amp;Table1[[#This Row],[1_h]]&amp;"[ID]"),0)),"")</f>
        <v>57807000</v>
      </c>
      <c r="K79" s="52">
        <f ca="1">IFERROR(INDEX(INDIRECT("NOTA_.xlsx!"&amp;Table1[[#This Row],[1_h]]&amp;"[diskon]"),MATCH(Table1[[#This Row],[ID]],INDIRECT("NOTA_.xlsx!"&amp;Table1[[#This Row],[1_h]]&amp;"[ID]"),0)),"")</f>
        <v>9827190.0000000019</v>
      </c>
      <c r="L79" s="52">
        <f ca="1">IFERROR(INDEX(INDIRECT("NOTA_.xlsx!"&amp;Table1[[#This Row],[1_h]]&amp;"[Dpp]"),MATCH(Table1[[#This Row],[ID]],INDIRECT("NOTA_.xlsx!"&amp;Table1[[#This Row],[1_h]]&amp;"[ID]"),0)),"")</f>
        <v>43225054.054054052</v>
      </c>
      <c r="M79" s="52">
        <f ca="1">IFERROR(INDEX(INDIRECT("NOTA_.xlsx!"&amp;Table1[[#This Row],[1_h]]&amp;"[ppn (11%)]"),MATCH(Table1[[#This Row],[ID]],INDIRECT("NOTA_.xlsx!"&amp;Table1[[#This Row],[1_h]]&amp;"[ID]"),0)),"")</f>
        <v>4754755.9459459456</v>
      </c>
      <c r="N79" s="52">
        <f ca="1">IFERROR(INDEX(INDIRECT("NOTA_.xlsx!"&amp;Table1[[#This Row],[1_h]]&amp;"[total]"),MATCH(Table1[[#This Row],[ID]],INDIRECT("NOTA_.xlsx!"&amp;Table1[[#This Row],[1_h]]&amp;"[ID]"),0)),"")</f>
        <v>47979810</v>
      </c>
      <c r="O79" s="61" t="str">
        <f ca="1">IF(Table1[[#This Row],[NAMA SUPPLIER]]="","",INDEX(conv1[2],MATCH(Table1[[#This Row],[NAMA SUPPLIER]],conv1[1],0)))</f>
        <v>KENKO</v>
      </c>
      <c r="P79" s="51">
        <f ca="1">IF(Table1[[#This Row],[NO. INVOICE]]="","",_xlfn.IFNA(MATCH(Table1[[#This Row],[NO. INVOICE]],'[3]REKAP PEMBELIAN'!$C:$C,0),MATCH(VALUE(Table1[[#This Row],[NO. INVOICE]]),'[3]REKAP PEMBELIAN'!$C:$C,0)))</f>
        <v>448</v>
      </c>
    </row>
    <row r="80" spans="1:16" s="50" customFormat="1" x14ac:dyDescent="0.25">
      <c r="A80" s="47">
        <f ca="1">IF(Table1[[#This Row],[NAMA SUPPLIER]]="","",MATCH(Table1[[#This Row],[N_ID]],INDIRECT(Table1[[#This Row],[1_h]]&amp;"[N_ID]"),0))</f>
        <v>200</v>
      </c>
      <c r="B80" s="48" t="s">
        <v>104</v>
      </c>
      <c r="C80" s="47">
        <f ca="1">_xlfn.IFNA(INDEX([6]!PAJAK[ID],MATCH(Table1[[#This Row],[N_ID]],[6]!PAJAK[ID_P],0)),"")</f>
        <v>155</v>
      </c>
      <c r="D80" s="47">
        <f ca="1">IF(Table1[[#This Row],[ID]]="","",INDEX([6]!PAJAK[QB],MATCH(Table1[[#This Row],[ID]],[6]!PAJAK[ID],0)))</f>
        <v>3</v>
      </c>
      <c r="E80" s="49">
        <f ca="1">INDEX([6]!PAJAK[TGL.MASUK],MATCH(Table1[[#This Row],[ID]],[6]!PAJAK[ID],0))</f>
        <v>44769</v>
      </c>
      <c r="F80" s="49">
        <f ca="1">INDEX([6]!PAJAK[TGL.NOTA],MATCH(Table1[[#This Row],[ID]],[6]!PAJAK[ID],0))</f>
        <v>44765</v>
      </c>
      <c r="G80" s="47" t="str">
        <f ca="1">INDEX([6]!PAJAK[NO.NOTA],MATCH(Table1[[#This Row],[ID]],[6]!PAJAK[ID],0))</f>
        <v>22072256</v>
      </c>
      <c r="I80" s="51" t="str">
        <f ca="1">INDEX([6]!PAJAK[SUPPLIER],MATCH(Table1[[#This Row],[ID]],[6]!PAJAK[ID],0))</f>
        <v>PT KENKO SINAR INDONESIA</v>
      </c>
      <c r="J80" s="52">
        <f ca="1">IFERROR(INDEX(INDIRECT("NOTA_.xlsx!"&amp;Table1[[#This Row],[1_h]]&amp;"[sub total]"),MATCH(Table1[[#This Row],[ID]],INDIRECT("NOTA_.xlsx!"&amp;Table1[[#This Row],[1_h]]&amp;"[ID]"),0)),"")</f>
        <v>16768800</v>
      </c>
      <c r="K80" s="52">
        <f ca="1">IFERROR(INDEX(INDIRECT("NOTA_.xlsx!"&amp;Table1[[#This Row],[1_h]]&amp;"[diskon]"),MATCH(Table1[[#This Row],[ID]],INDIRECT("NOTA_.xlsx!"&amp;Table1[[#This Row],[1_h]]&amp;"[ID]"),0)),"")</f>
        <v>2850696.0000000005</v>
      </c>
      <c r="L80" s="52">
        <f ca="1">IFERROR(INDEX(INDIRECT("NOTA_.xlsx!"&amp;Table1[[#This Row],[1_h]]&amp;"[Dpp]"),MATCH(Table1[[#This Row],[ID]],INDIRECT("NOTA_.xlsx!"&amp;Table1[[#This Row],[1_h]]&amp;"[ID]"),0)),"")</f>
        <v>12538832.432432432</v>
      </c>
      <c r="M80" s="52">
        <f ca="1">IFERROR(INDEX(INDIRECT("NOTA_.xlsx!"&amp;Table1[[#This Row],[1_h]]&amp;"[ppn (11%)]"),MATCH(Table1[[#This Row],[ID]],INDIRECT("NOTA_.xlsx!"&amp;Table1[[#This Row],[1_h]]&amp;"[ID]"),0)),"")</f>
        <v>1379271.5675675676</v>
      </c>
      <c r="N80" s="52">
        <f ca="1">IFERROR(INDEX(INDIRECT("NOTA_.xlsx!"&amp;Table1[[#This Row],[1_h]]&amp;"[total]"),MATCH(Table1[[#This Row],[ID]],INDIRECT("NOTA_.xlsx!"&amp;Table1[[#This Row],[1_h]]&amp;"[ID]"),0)),"")</f>
        <v>13918104</v>
      </c>
      <c r="O80" s="61" t="str">
        <f ca="1">IF(Table1[[#This Row],[NAMA SUPPLIER]]="","",INDEX(conv1[2],MATCH(Table1[[#This Row],[NAMA SUPPLIER]],conv1[1],0)))</f>
        <v>KENKO</v>
      </c>
      <c r="P80" s="51">
        <f ca="1">IF(Table1[[#This Row],[NO. INVOICE]]="","",_xlfn.IFNA(MATCH(Table1[[#This Row],[NO. INVOICE]],'[3]REKAP PEMBELIAN'!$C:$C,0),MATCH(VALUE(Table1[[#This Row],[NO. INVOICE]]),'[3]REKAP PEMBELIAN'!$C:$C,0)))</f>
        <v>449</v>
      </c>
    </row>
    <row r="81" spans="1:16" s="50" customFormat="1" x14ac:dyDescent="0.25">
      <c r="A81" s="47">
        <f ca="1">IF(Table1[[#This Row],[NAMA SUPPLIER]]="","",MATCH(Table1[[#This Row],[N_ID]],INDIRECT(Table1[[#This Row],[1_h]]&amp;"[N_ID]"),0))</f>
        <v>204</v>
      </c>
      <c r="B81" s="48" t="s">
        <v>109</v>
      </c>
      <c r="C81" s="47">
        <f ca="1">_xlfn.IFNA(INDEX([6]!PAJAK[ID],MATCH(Table1[[#This Row],[N_ID]],[6]!PAJAK[ID_P],0)),"")</f>
        <v>157</v>
      </c>
      <c r="D81" s="47">
        <f ca="1">IF(Table1[[#This Row],[ID]]="","",INDEX([6]!PAJAK[QB],MATCH(Table1[[#This Row],[ID]],[6]!PAJAK[ID],0)))</f>
        <v>7</v>
      </c>
      <c r="E81" s="49">
        <f ca="1">INDEX([6]!PAJAK[TGL.MASUK],MATCH(Table1[[#This Row],[ID]],[6]!PAJAK[ID],0))</f>
        <v>44769</v>
      </c>
      <c r="F81" s="49">
        <f ca="1">INDEX([6]!PAJAK[TGL.NOTA],MATCH(Table1[[#This Row],[ID]],[6]!PAJAK[ID],0))</f>
        <v>44767</v>
      </c>
      <c r="G81" s="47" t="str">
        <f ca="1">INDEX([6]!PAJAK[NO.NOTA],MATCH(Table1[[#This Row],[ID]],[6]!PAJAK[ID],0))</f>
        <v>22072347</v>
      </c>
      <c r="I81" s="51" t="str">
        <f ca="1">INDEX([6]!PAJAK[SUPPLIER],MATCH(Table1[[#This Row],[ID]],[6]!PAJAK[ID],0))</f>
        <v>PT KENKO SINAR INDONESIA</v>
      </c>
      <c r="J81" s="52">
        <f ca="1">IFERROR(INDEX(INDIRECT("NOTA_.xlsx!"&amp;Table1[[#This Row],[1_h]]&amp;"[sub total]"),MATCH(Table1[[#This Row],[ID]],INDIRECT("NOTA_.xlsx!"&amp;Table1[[#This Row],[1_h]]&amp;"[ID]"),0)),"")</f>
        <v>68738400</v>
      </c>
      <c r="K81" s="52">
        <f ca="1">IFERROR(INDEX(INDIRECT("NOTA_.xlsx!"&amp;Table1[[#This Row],[1_h]]&amp;"[diskon]"),MATCH(Table1[[#This Row],[ID]],INDIRECT("NOTA_.xlsx!"&amp;Table1[[#This Row],[1_h]]&amp;"[ID]"),0)),"")</f>
        <v>11685528</v>
      </c>
      <c r="L81" s="52">
        <f ca="1">IFERROR(INDEX(INDIRECT("NOTA_.xlsx!"&amp;Table1[[#This Row],[1_h]]&amp;"[Dpp]"),MATCH(Table1[[#This Row],[ID]],INDIRECT("NOTA_.xlsx!"&amp;Table1[[#This Row],[1_h]]&amp;"[ID]"),0)),"")</f>
        <v>51398983.783783779</v>
      </c>
      <c r="M81" s="52">
        <f ca="1">IFERROR(INDEX(INDIRECT("NOTA_.xlsx!"&amp;Table1[[#This Row],[1_h]]&amp;"[ppn (11%)]"),MATCH(Table1[[#This Row],[ID]],INDIRECT("NOTA_.xlsx!"&amp;Table1[[#This Row],[1_h]]&amp;"[ID]"),0)),"")</f>
        <v>5653888.2162162159</v>
      </c>
      <c r="N81" s="52">
        <f ca="1">IFERROR(INDEX(INDIRECT("NOTA_.xlsx!"&amp;Table1[[#This Row],[1_h]]&amp;"[total]"),MATCH(Table1[[#This Row],[ID]],INDIRECT("NOTA_.xlsx!"&amp;Table1[[#This Row],[1_h]]&amp;"[ID]"),0)),"")</f>
        <v>57052871.999999993</v>
      </c>
      <c r="O81" s="61" t="str">
        <f ca="1">IF(Table1[[#This Row],[NAMA SUPPLIER]]="","",INDEX(conv1[2],MATCH(Table1[[#This Row],[NAMA SUPPLIER]],conv1[1],0)))</f>
        <v>KENKO</v>
      </c>
      <c r="P81" s="51">
        <f ca="1">IF(Table1[[#This Row],[NO. INVOICE]]="","",_xlfn.IFNA(MATCH(Table1[[#This Row],[NO. INVOICE]],'[3]REKAP PEMBELIAN'!$C:$C,0),MATCH(VALUE(Table1[[#This Row],[NO. INVOICE]]),'[3]REKAP PEMBELIAN'!$C:$C,0)))</f>
        <v>450</v>
      </c>
    </row>
    <row r="82" spans="1:16" s="50" customFormat="1" x14ac:dyDescent="0.25">
      <c r="A82" s="47">
        <f ca="1">IF(Table1[[#This Row],[NAMA SUPPLIER]]="","",MATCH(Table1[[#This Row],[N_ID]],INDIRECT(Table1[[#This Row],[1_h]]&amp;"[N_ID]"),0))</f>
        <v>212</v>
      </c>
      <c r="B82" s="48" t="s">
        <v>110</v>
      </c>
      <c r="C82" s="47">
        <f ca="1">_xlfn.IFNA(INDEX([6]!PAJAK[ID],MATCH(Table1[[#This Row],[N_ID]],[6]!PAJAK[ID_P],0)),"")</f>
        <v>156</v>
      </c>
      <c r="D82" s="47">
        <f ca="1">IF(Table1[[#This Row],[ID]]="","",INDEX([6]!PAJAK[QB],MATCH(Table1[[#This Row],[ID]],[6]!PAJAK[ID],0)))</f>
        <v>4</v>
      </c>
      <c r="E82" s="49">
        <f ca="1">INDEX([6]!PAJAK[TGL.MASUK],MATCH(Table1[[#This Row],[ID]],[6]!PAJAK[ID],0))</f>
        <v>44769</v>
      </c>
      <c r="F82" s="49">
        <f ca="1">INDEX([6]!PAJAK[TGL.NOTA],MATCH(Table1[[#This Row],[ID]],[6]!PAJAK[ID],0))</f>
        <v>44767</v>
      </c>
      <c r="G82" s="47" t="str">
        <f ca="1">INDEX([6]!PAJAK[NO.NOTA],MATCH(Table1[[#This Row],[ID]],[6]!PAJAK[ID],0))</f>
        <v>22072367</v>
      </c>
      <c r="I82" s="51" t="str">
        <f ca="1">INDEX([6]!PAJAK[SUPPLIER],MATCH(Table1[[#This Row],[ID]],[6]!PAJAK[ID],0))</f>
        <v>PT KENKO SINAR INDONESIA</v>
      </c>
      <c r="J82" s="52">
        <f ca="1">IFERROR(INDEX(INDIRECT("NOTA_.xlsx!"&amp;Table1[[#This Row],[1_h]]&amp;"[sub total]"),MATCH(Table1[[#This Row],[ID]],INDIRECT("NOTA_.xlsx!"&amp;Table1[[#This Row],[1_h]]&amp;"[ID]"),0)),"")</f>
        <v>15264000</v>
      </c>
      <c r="K82" s="52">
        <f ca="1">IFERROR(INDEX(INDIRECT("NOTA_.xlsx!"&amp;Table1[[#This Row],[1_h]]&amp;"[diskon]"),MATCH(Table1[[#This Row],[ID]],INDIRECT("NOTA_.xlsx!"&amp;Table1[[#This Row],[1_h]]&amp;"[ID]"),0)),"")</f>
        <v>2594880</v>
      </c>
      <c r="L82" s="52">
        <f ca="1">IFERROR(INDEX(INDIRECT("NOTA_.xlsx!"&amp;Table1[[#This Row],[1_h]]&amp;"[Dpp]"),MATCH(Table1[[#This Row],[ID]],INDIRECT("NOTA_.xlsx!"&amp;Table1[[#This Row],[1_h]]&amp;"[ID]"),0)),"")</f>
        <v>11413621.62162162</v>
      </c>
      <c r="M82" s="52">
        <f ca="1">IFERROR(INDEX(INDIRECT("NOTA_.xlsx!"&amp;Table1[[#This Row],[1_h]]&amp;"[ppn (11%)]"),MATCH(Table1[[#This Row],[ID]],INDIRECT("NOTA_.xlsx!"&amp;Table1[[#This Row],[1_h]]&amp;"[ID]"),0)),"")</f>
        <v>1255498.3783783782</v>
      </c>
      <c r="N82" s="52">
        <f ca="1">IFERROR(INDEX(INDIRECT("NOTA_.xlsx!"&amp;Table1[[#This Row],[1_h]]&amp;"[total]"),MATCH(Table1[[#This Row],[ID]],INDIRECT("NOTA_.xlsx!"&amp;Table1[[#This Row],[1_h]]&amp;"[ID]"),0)),"")</f>
        <v>12669119.999999998</v>
      </c>
      <c r="O82" s="61" t="str">
        <f ca="1">IF(Table1[[#This Row],[NAMA SUPPLIER]]="","",INDEX(conv1[2],MATCH(Table1[[#This Row],[NAMA SUPPLIER]],conv1[1],0)))</f>
        <v>KENKO</v>
      </c>
      <c r="P82" s="51">
        <f ca="1">IF(Table1[[#This Row],[NO. INVOICE]]="","",_xlfn.IFNA(MATCH(Table1[[#This Row],[NO. INVOICE]],'[3]REKAP PEMBELIAN'!$C:$C,0),MATCH(VALUE(Table1[[#This Row],[NO. INVOICE]]),'[3]REKAP PEMBELIAN'!$C:$C,0)))</f>
        <v>451</v>
      </c>
    </row>
    <row r="83" spans="1:16" s="50" customFormat="1" x14ac:dyDescent="0.25">
      <c r="A83" s="47">
        <f ca="1">IF(Table1[[#This Row],[NAMA SUPPLIER]]="","",MATCH(Table1[[#This Row],[N_ID]],INDIRECT(Table1[[#This Row],[1_h]]&amp;"[N_ID]"),0))</f>
        <v>217</v>
      </c>
      <c r="B83" s="48" t="s">
        <v>119</v>
      </c>
      <c r="C83" s="47">
        <f ca="1">_xlfn.IFNA(INDEX([6]!PAJAK[ID],MATCH(Table1[[#This Row],[N_ID]],[6]!PAJAK[ID_P],0)),"")</f>
        <v>166</v>
      </c>
      <c r="D83" s="47">
        <f ca="1">IF(Table1[[#This Row],[ID]]="","",INDEX([6]!PAJAK[QB],MATCH(Table1[[#This Row],[ID]],[6]!PAJAK[ID],0)))</f>
        <v>3</v>
      </c>
      <c r="E83" s="49">
        <f ca="1">INDEX([6]!PAJAK[TGL.MASUK],MATCH(Table1[[#This Row],[ID]],[6]!PAJAK[ID],0))</f>
        <v>44771</v>
      </c>
      <c r="F83" s="49">
        <f ca="1">INDEX([6]!PAJAK[TGL.NOTA],MATCH(Table1[[#This Row],[ID]],[6]!PAJAK[ID],0))</f>
        <v>44768</v>
      </c>
      <c r="G83" s="47" t="str">
        <f ca="1">INDEX([6]!PAJAK[NO.NOTA],MATCH(Table1[[#This Row],[ID]],[6]!PAJAK[ID],0))</f>
        <v>22072386</v>
      </c>
      <c r="I83" s="51" t="str">
        <f ca="1">INDEX([6]!PAJAK[SUPPLIER],MATCH(Table1[[#This Row],[ID]],[6]!PAJAK[ID],0))</f>
        <v>PT KENKO SINAR INDONESIA</v>
      </c>
      <c r="J83" s="52">
        <f ca="1">IFERROR(INDEX(INDIRECT("NOTA_.xlsx!"&amp;Table1[[#This Row],[1_h]]&amp;"[sub total]"),MATCH(Table1[[#This Row],[ID]],INDIRECT("NOTA_.xlsx!"&amp;Table1[[#This Row],[1_h]]&amp;"[ID]"),0)),"")</f>
        <v>11739000</v>
      </c>
      <c r="K83" s="52">
        <f ca="1">IFERROR(INDEX(INDIRECT("NOTA_.xlsx!"&amp;Table1[[#This Row],[1_h]]&amp;"[diskon]"),MATCH(Table1[[#This Row],[ID]],INDIRECT("NOTA_.xlsx!"&amp;Table1[[#This Row],[1_h]]&amp;"[ID]"),0)),"")</f>
        <v>1995630.0000000002</v>
      </c>
      <c r="L83" s="52">
        <f ca="1">IFERROR(INDEX(INDIRECT("NOTA_.xlsx!"&amp;Table1[[#This Row],[1_h]]&amp;"[Dpp]"),MATCH(Table1[[#This Row],[ID]],INDIRECT("NOTA_.xlsx!"&amp;Table1[[#This Row],[1_h]]&amp;"[ID]"),0)),"")</f>
        <v>8777810.81081081</v>
      </c>
      <c r="M83" s="52">
        <f ca="1">IFERROR(INDEX(INDIRECT("NOTA_.xlsx!"&amp;Table1[[#This Row],[1_h]]&amp;"[ppn (11%)]"),MATCH(Table1[[#This Row],[ID]],INDIRECT("NOTA_.xlsx!"&amp;Table1[[#This Row],[1_h]]&amp;"[ID]"),0)),"")</f>
        <v>965559.18918918911</v>
      </c>
      <c r="N83" s="52">
        <f ca="1">IFERROR(INDEX(INDIRECT("NOTA_.xlsx!"&amp;Table1[[#This Row],[1_h]]&amp;"[total]"),MATCH(Table1[[#This Row],[ID]],INDIRECT("NOTA_.xlsx!"&amp;Table1[[#This Row],[1_h]]&amp;"[ID]"),0)),"")</f>
        <v>9743370</v>
      </c>
      <c r="O83" s="61" t="str">
        <f ca="1">IF(Table1[[#This Row],[NAMA SUPPLIER]]="","",INDEX(conv1[2],MATCH(Table1[[#This Row],[NAMA SUPPLIER]],conv1[1],0)))</f>
        <v>KENKO</v>
      </c>
      <c r="P83" s="51">
        <f ca="1">IF(Table1[[#This Row],[NO. INVOICE]]="","",_xlfn.IFNA(MATCH(Table1[[#This Row],[NO. INVOICE]],'[3]REKAP PEMBELIAN'!$C:$C,0),MATCH(VALUE(Table1[[#This Row],[NO. INVOICE]]),'[3]REKAP PEMBELIAN'!$C:$C,0)))</f>
        <v>452</v>
      </c>
    </row>
    <row r="84" spans="1:16" s="50" customFormat="1" x14ac:dyDescent="0.25">
      <c r="A84" s="47">
        <f ca="1">IF(Table1[[#This Row],[NAMA SUPPLIER]]="","",MATCH(Table1[[#This Row],[N_ID]],INDIRECT(Table1[[#This Row],[1_h]]&amp;"[N_ID]"),0))</f>
        <v>221</v>
      </c>
      <c r="B84" s="48" t="s">
        <v>120</v>
      </c>
      <c r="C84" s="47">
        <f ca="1">_xlfn.IFNA(INDEX([6]!PAJAK[ID],MATCH(Table1[[#This Row],[N_ID]],[6]!PAJAK[ID_P],0)),"")</f>
        <v>167</v>
      </c>
      <c r="D84" s="47">
        <f ca="1">IF(Table1[[#This Row],[ID]]="","",INDEX([6]!PAJAK[QB],MATCH(Table1[[#This Row],[ID]],[6]!PAJAK[ID],0)))</f>
        <v>2</v>
      </c>
      <c r="E84" s="49">
        <f ca="1">INDEX([6]!PAJAK[TGL.MASUK],MATCH(Table1[[#This Row],[ID]],[6]!PAJAK[ID],0))</f>
        <v>44771</v>
      </c>
      <c r="F84" s="49">
        <f ca="1">INDEX([6]!PAJAK[TGL.NOTA],MATCH(Table1[[#This Row],[ID]],[6]!PAJAK[ID],0))</f>
        <v>44769</v>
      </c>
      <c r="G84" s="47" t="str">
        <f ca="1">INDEX([6]!PAJAK[NO.NOTA],MATCH(Table1[[#This Row],[ID]],[6]!PAJAK[ID],0))</f>
        <v>22072516</v>
      </c>
      <c r="I84" s="51" t="str">
        <f ca="1">INDEX([6]!PAJAK[SUPPLIER],MATCH(Table1[[#This Row],[ID]],[6]!PAJAK[ID],0))</f>
        <v>PT KENKO SINAR INDONESIA</v>
      </c>
      <c r="J84" s="52">
        <f ca="1">IFERROR(INDEX(INDIRECT("NOTA_.xlsx!"&amp;Table1[[#This Row],[1_h]]&amp;"[sub total]"),MATCH(Table1[[#This Row],[ID]],INDIRECT("NOTA_.xlsx!"&amp;Table1[[#This Row],[1_h]]&amp;"[ID]"),0)),"")</f>
        <v>3480000</v>
      </c>
      <c r="K84" s="52">
        <f ca="1">IFERROR(INDEX(INDIRECT("NOTA_.xlsx!"&amp;Table1[[#This Row],[1_h]]&amp;"[diskon]"),MATCH(Table1[[#This Row],[ID]],INDIRECT("NOTA_.xlsx!"&amp;Table1[[#This Row],[1_h]]&amp;"[ID]"),0)),"")</f>
        <v>591600</v>
      </c>
      <c r="L84" s="52">
        <f ca="1">IFERROR(INDEX(INDIRECT("NOTA_.xlsx!"&amp;Table1[[#This Row],[1_h]]&amp;"[Dpp]"),MATCH(Table1[[#This Row],[ID]],INDIRECT("NOTA_.xlsx!"&amp;Table1[[#This Row],[1_h]]&amp;"[ID]"),0)),"")</f>
        <v>2602162.1621621619</v>
      </c>
      <c r="M84" s="52">
        <f ca="1">IFERROR(INDEX(INDIRECT("NOTA_.xlsx!"&amp;Table1[[#This Row],[1_h]]&amp;"[ppn (11%)]"),MATCH(Table1[[#This Row],[ID]],INDIRECT("NOTA_.xlsx!"&amp;Table1[[#This Row],[1_h]]&amp;"[ID]"),0)),"")</f>
        <v>286237.83783783781</v>
      </c>
      <c r="N84" s="52">
        <f ca="1">IFERROR(INDEX(INDIRECT("NOTA_.xlsx!"&amp;Table1[[#This Row],[1_h]]&amp;"[total]"),MATCH(Table1[[#This Row],[ID]],INDIRECT("NOTA_.xlsx!"&amp;Table1[[#This Row],[1_h]]&amp;"[ID]"),0)),"")</f>
        <v>2888399.9999999995</v>
      </c>
      <c r="O84" s="61" t="str">
        <f ca="1">IF(Table1[[#This Row],[NAMA SUPPLIER]]="","",INDEX(conv1[2],MATCH(Table1[[#This Row],[NAMA SUPPLIER]],conv1[1],0)))</f>
        <v>KENKO</v>
      </c>
      <c r="P84" s="51">
        <f ca="1">IF(Table1[[#This Row],[NO. INVOICE]]="","",_xlfn.IFNA(MATCH(Table1[[#This Row],[NO. INVOICE]],'[3]REKAP PEMBELIAN'!$C:$C,0),MATCH(VALUE(Table1[[#This Row],[NO. INVOICE]]),'[3]REKAP PEMBELIAN'!$C:$C,0)))</f>
        <v>453</v>
      </c>
    </row>
    <row r="85" spans="1:16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_xlfn.IFNA(INDEX([6]!PAJAK[ID],MATCH(Table1[[#This Row],[N_ID]],[6]!PAJAK[ID_P],0)),"")</f>
        <v/>
      </c>
      <c r="D85" s="6" t="str">
        <f ca="1">IF(Table1[[#This Row],[ID]]="","",INDEX([6]!PAJAK[QB],MATCH(Table1[[#This Row],[ID]],[6]!PAJAK[ID],0)))</f>
        <v/>
      </c>
      <c r="E85" s="3" t="str">
        <f ca="1">INDEX([6]!PAJAK[TGL.MASUK],MATCH(Table1[[#This Row],[ID]],[6]!PAJAK[ID],0))</f>
        <v/>
      </c>
      <c r="F85" s="3" t="str">
        <f ca="1">INDEX([6]!PAJAK[TGL.NOTA],MATCH(Table1[[#This Row],[ID]],[6]!PAJAK[ID],0))</f>
        <v/>
      </c>
      <c r="G85" s="6" t="str">
        <f ca="1">INDEX([6]!PAJAK[NO.NOTA],MATCH(Table1[[#This Row],[ID]],[6]!PAJAK[ID],0))</f>
        <v/>
      </c>
      <c r="I85" s="4" t="str">
        <f ca="1">INDEX([6]!PAJAK[SUPPLIER],MATCH(Table1[[#This Row],[ID]],[6]!PAJAK[ID],0))</f>
        <v/>
      </c>
      <c r="J85" s="5" t="str">
        <f ca="1">IFERROR(INDEX(INDIRECT("NOTA_.xlsx!"&amp;Table1[[#This Row],[1_h]]&amp;"[sub total]"),MATCH(Table1[[#This Row],[ID]],INDIRECT("NOTA_.xlsx!"&amp;Table1[[#This Row],[1_h]]&amp;"[ID]"),0)),"")</f>
        <v/>
      </c>
      <c r="K85" s="5" t="str">
        <f ca="1">IFERROR(INDEX(INDIRECT("NOTA_.xlsx!"&amp;Table1[[#This Row],[1_h]]&amp;"[diskon]"),MATCH(Table1[[#This Row],[ID]],INDIRECT("NOTA_.xlsx!"&amp;Table1[[#This Row],[1_h]]&amp;"[ID]"),0)),"")</f>
        <v/>
      </c>
      <c r="L85" s="5" t="str">
        <f ca="1">IFERROR(INDEX(INDIRECT("NOTA_.xlsx!"&amp;Table1[[#This Row],[1_h]]&amp;"[Dpp]"),MATCH(Table1[[#This Row],[ID]],INDIRECT("NOTA_.xlsx!"&amp;Table1[[#This Row],[1_h]]&amp;"[ID]"),0)),"")</f>
        <v/>
      </c>
      <c r="M85" s="5" t="str">
        <f ca="1">IFERROR(INDEX(INDIRECT("NOTA_.xlsx!"&amp;Table1[[#This Row],[1_h]]&amp;"[ppn (11%)]"),MATCH(Table1[[#This Row],[ID]],INDIRECT("NOTA_.xlsx!"&amp;Table1[[#This Row],[1_h]]&amp;"[ID]"),0)),"")</f>
        <v/>
      </c>
      <c r="N85" s="5" t="str">
        <f ca="1">IFERROR(INDEX(INDIRECT("NOTA_.xlsx!"&amp;Table1[[#This Row],[1_h]]&amp;"[total]"),MATCH(Table1[[#This Row],[ID]],INDIRECT("NOTA_.xlsx!"&amp;Table1[[#This Row],[1_h]]&amp;"[ID]"),0)),"")</f>
        <v/>
      </c>
      <c r="O85" s="59" t="str">
        <f ca="1">IF(Table1[[#This Row],[NAMA SUPPLIER]]="","",INDEX(conv1[2],MATCH(Table1[[#This Row],[NAMA SUPPLIER]],conv1[1],0)))</f>
        <v/>
      </c>
      <c r="P85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86" spans="1:16" x14ac:dyDescent="0.25">
      <c r="A86" s="6">
        <f ca="1">IF(Table1[[#This Row],[NAMA SUPPLIER]]="","",MATCH(Table1[[#This Row],[N_ID]],INDIRECT(Table1[[#This Row],[1_h]]&amp;"[N_ID]"),0))</f>
        <v>1</v>
      </c>
      <c r="B86" s="2" t="s">
        <v>64</v>
      </c>
      <c r="C86" s="6">
        <f ca="1">_xlfn.IFNA(INDEX([6]!PAJAK[ID],MATCH(Table1[[#This Row],[N_ID]],[6]!PAJAK[ID_P],0)),"")</f>
        <v>50</v>
      </c>
      <c r="D86" s="6">
        <f ca="1">IF(Table1[[#This Row],[ID]]="","",INDEX([6]!PAJAK[QB],MATCH(Table1[[#This Row],[ID]],[6]!PAJAK[ID],0)))</f>
        <v>9</v>
      </c>
      <c r="E86" s="3">
        <f ca="1">INDEX([6]!PAJAK[TGL.MASUK],MATCH(Table1[[#This Row],[ID]],[6]!PAJAK[ID],0))</f>
        <v>44753</v>
      </c>
      <c r="F86" s="3">
        <f ca="1">INDEX([6]!PAJAK[TGL.NOTA],MATCH(Table1[[#This Row],[ID]],[6]!PAJAK[ID],0))</f>
        <v>44749</v>
      </c>
      <c r="G86" s="6" t="str">
        <f ca="1">INDEX([6]!PAJAK[NO.NOTA],MATCH(Table1[[#This Row],[ID]],[6]!PAJAK[ID],0))</f>
        <v>JUG181/22</v>
      </c>
      <c r="I86" s="4" t="str">
        <f ca="1">INDEX([6]!PAJAK[SUPPLIER],MATCH(Table1[[#This Row],[ID]],[6]!PAJAK[ID],0))</f>
        <v>PT SEMBILAN-SEMBILAN JAYA UTAMA</v>
      </c>
      <c r="J86" s="5">
        <f ca="1">IFERROR(INDEX(INDIRECT("NOTA_.xlsx!"&amp;Table1[[#This Row],[1_h]]&amp;"[sub total]"),MATCH(Table1[[#This Row],[ID]],INDIRECT("NOTA_.xlsx!"&amp;Table1[[#This Row],[1_h]]&amp;"[ID]"),0)),"")</f>
        <v>23652000</v>
      </c>
      <c r="K86" s="5">
        <f ca="1">IFERROR(INDEX(INDIRECT("NOTA_.xlsx!"&amp;Table1[[#This Row],[1_h]]&amp;"[diskon]"),MATCH(Table1[[#This Row],[ID]],INDIRECT("NOTA_.xlsx!"&amp;Table1[[#This Row],[1_h]]&amp;"[ID]"),0)),"")</f>
        <v>0</v>
      </c>
      <c r="L86" s="5">
        <f ca="1">IFERROR(INDEX(INDIRECT("NOTA_.xlsx!"&amp;Table1[[#This Row],[1_h]]&amp;"[Dpp]"),MATCH(Table1[[#This Row],[ID]],INDIRECT("NOTA_.xlsx!"&amp;Table1[[#This Row],[1_h]]&amp;"[ID]"),0)),"")</f>
        <v>21308108.108108107</v>
      </c>
      <c r="M86" s="5">
        <f ca="1">IFERROR(INDEX(INDIRECT("NOTA_.xlsx!"&amp;Table1[[#This Row],[1_h]]&amp;"[ppn (11%)]"),MATCH(Table1[[#This Row],[ID]],INDIRECT("NOTA_.xlsx!"&amp;Table1[[#This Row],[1_h]]&amp;"[ID]"),0)),"")</f>
        <v>2343891.8918918916</v>
      </c>
      <c r="N86" s="5">
        <f ca="1">IFERROR(INDEX(INDIRECT("NOTA_.xlsx!"&amp;Table1[[#This Row],[1_h]]&amp;"[total]"),MATCH(Table1[[#This Row],[ID]],INDIRECT("NOTA_.xlsx!"&amp;Table1[[#This Row],[1_h]]&amp;"[ID]"),0)),"")</f>
        <v>23652000</v>
      </c>
      <c r="O86" s="59" t="str">
        <f ca="1">IF(Table1[[#This Row],[NAMA SUPPLIER]]="","",INDEX(conv1[2],MATCH(Table1[[#This Row],[NAMA SUPPLIER]],conv1[1],0)))</f>
        <v>J_UTAMA</v>
      </c>
      <c r="P86" s="4">
        <f ca="1">IF(Table1[[#This Row],[NO. INVOICE]]="","",_xlfn.IFNA(MATCH(Table1[[#This Row],[NO. INVOICE]],'[3]REKAP PEMBELIAN'!$C:$C,0),MATCH(VALUE(Table1[[#This Row],[NO. INVOICE]]),'[3]REKAP PEMBELIAN'!$C:$C,0)))</f>
        <v>457</v>
      </c>
    </row>
    <row r="87" spans="1:16" x14ac:dyDescent="0.25">
      <c r="A87" s="6">
        <f ca="1">IF(Table1[[#This Row],[NAMA SUPPLIER]]="","",MATCH(Table1[[#This Row],[N_ID]],INDIRECT(Table1[[#This Row],[1_h]]&amp;"[N_ID]"),0))</f>
        <v>11</v>
      </c>
      <c r="B87" s="2" t="s">
        <v>63</v>
      </c>
      <c r="C87" s="6">
        <f ca="1">_xlfn.IFNA(INDEX([6]!PAJAK[ID],MATCH(Table1[[#This Row],[N_ID]],[6]!PAJAK[ID_P],0)),"")</f>
        <v>49</v>
      </c>
      <c r="D87" s="6">
        <f ca="1">IF(Table1[[#This Row],[ID]]="","",INDEX([6]!PAJAK[QB],MATCH(Table1[[#This Row],[ID]],[6]!PAJAK[ID],0)))</f>
        <v>7</v>
      </c>
      <c r="E87" s="3">
        <f ca="1">INDEX([6]!PAJAK[TGL.MASUK],MATCH(Table1[[#This Row],[ID]],[6]!PAJAK[ID],0))</f>
        <v>44753</v>
      </c>
      <c r="F87" s="3">
        <f ca="1">INDEX([6]!PAJAK[TGL.NOTA],MATCH(Table1[[#This Row],[ID]],[6]!PAJAK[ID],0))</f>
        <v>44749</v>
      </c>
      <c r="G87" s="6" t="str">
        <f ca="1">INDEX([6]!PAJAK[NO.NOTA],MATCH(Table1[[#This Row],[ID]],[6]!PAJAK[ID],0))</f>
        <v>JUG182/22</v>
      </c>
      <c r="I87" s="4" t="str">
        <f ca="1">INDEX([6]!PAJAK[SUPPLIER],MATCH(Table1[[#This Row],[ID]],[6]!PAJAK[ID],0))</f>
        <v>PT SEMBILAN-SEMBILAN JAYA UTAMA</v>
      </c>
      <c r="J87" s="5">
        <f ca="1">IFERROR(INDEX(INDIRECT("NOTA_.xlsx!"&amp;Table1[[#This Row],[1_h]]&amp;"[sub total]"),MATCH(Table1[[#This Row],[ID]],INDIRECT("NOTA_.xlsx!"&amp;Table1[[#This Row],[1_h]]&amp;"[ID]"),0)),"")</f>
        <v>15768000</v>
      </c>
      <c r="K87" s="5">
        <f ca="1">IFERROR(INDEX(INDIRECT("NOTA_.xlsx!"&amp;Table1[[#This Row],[1_h]]&amp;"[diskon]"),MATCH(Table1[[#This Row],[ID]],INDIRECT("NOTA_.xlsx!"&amp;Table1[[#This Row],[1_h]]&amp;"[ID]"),0)),"")</f>
        <v>0</v>
      </c>
      <c r="L87" s="5">
        <f ca="1">IFERROR(INDEX(INDIRECT("NOTA_.xlsx!"&amp;Table1[[#This Row],[1_h]]&amp;"[Dpp]"),MATCH(Table1[[#This Row],[ID]],INDIRECT("NOTA_.xlsx!"&amp;Table1[[#This Row],[1_h]]&amp;"[ID]"),0)),"")</f>
        <v>14205405.405405404</v>
      </c>
      <c r="M87" s="5">
        <f ca="1">IFERROR(INDEX(INDIRECT("NOTA_.xlsx!"&amp;Table1[[#This Row],[1_h]]&amp;"[ppn (11%)]"),MATCH(Table1[[#This Row],[ID]],INDIRECT("NOTA_.xlsx!"&amp;Table1[[#This Row],[1_h]]&amp;"[ID]"),0)),"")</f>
        <v>1562594.5945945946</v>
      </c>
      <c r="N87" s="5">
        <f ca="1">IFERROR(INDEX(INDIRECT("NOTA_.xlsx!"&amp;Table1[[#This Row],[1_h]]&amp;"[total]"),MATCH(Table1[[#This Row],[ID]],INDIRECT("NOTA_.xlsx!"&amp;Table1[[#This Row],[1_h]]&amp;"[ID]"),0)),"")</f>
        <v>15767999.999999998</v>
      </c>
      <c r="O87" s="59" t="str">
        <f ca="1">IF(Table1[[#This Row],[NAMA SUPPLIER]]="","",INDEX(conv1[2],MATCH(Table1[[#This Row],[NAMA SUPPLIER]],conv1[1],0)))</f>
        <v>J_UTAMA</v>
      </c>
      <c r="P87" s="4">
        <f ca="1">IF(Table1[[#This Row],[NO. INVOICE]]="","",_xlfn.IFNA(MATCH(Table1[[#This Row],[NO. INVOICE]],'[3]REKAP PEMBELIAN'!$C:$C,0),MATCH(VALUE(Table1[[#This Row],[NO. INVOICE]]),'[3]REKAP PEMBELIAN'!$C:$C,0)))</f>
        <v>458</v>
      </c>
    </row>
    <row r="88" spans="1:16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_xlfn.IFNA(INDEX([6]!PAJAK[ID],MATCH(Table1[[#This Row],[N_ID]],[6]!PAJAK[ID_P],0)),"")</f>
        <v/>
      </c>
      <c r="D88" s="6" t="str">
        <f ca="1">IF(Table1[[#This Row],[ID]]="","",INDEX([6]!PAJAK[QB],MATCH(Table1[[#This Row],[ID]],[6]!PAJAK[ID],0)))</f>
        <v/>
      </c>
      <c r="E88" s="3" t="str">
        <f ca="1">INDEX([6]!PAJAK[TGL.MASUK],MATCH(Table1[[#This Row],[ID]],[6]!PAJAK[ID],0))</f>
        <v/>
      </c>
      <c r="F88" s="3" t="str">
        <f ca="1">INDEX([6]!PAJAK[TGL.NOTA],MATCH(Table1[[#This Row],[ID]],[6]!PAJAK[ID],0))</f>
        <v/>
      </c>
      <c r="G88" s="6" t="str">
        <f ca="1">INDEX([6]!PAJAK[NO.NOTA],MATCH(Table1[[#This Row],[ID]],[6]!PAJAK[ID],0))</f>
        <v/>
      </c>
      <c r="I88" s="4" t="str">
        <f ca="1">INDEX([6]!PAJAK[SUPPLIER],MATCH(Table1[[#This Row],[ID]],[6]!PAJAK[ID],0))</f>
        <v/>
      </c>
      <c r="J88" s="5" t="str">
        <f ca="1">IFERROR(INDEX(INDIRECT("NOTA_.xlsx!"&amp;Table1[[#This Row],[1_h]]&amp;"[sub total]"),MATCH(Table1[[#This Row],[ID]],INDIRECT("NOTA_.xlsx!"&amp;Table1[[#This Row],[1_h]]&amp;"[ID]"),0)),"")</f>
        <v/>
      </c>
      <c r="K88" s="5" t="str">
        <f ca="1">IFERROR(INDEX(INDIRECT("NOTA_.xlsx!"&amp;Table1[[#This Row],[1_h]]&amp;"[diskon]"),MATCH(Table1[[#This Row],[ID]],INDIRECT("NOTA_.xlsx!"&amp;Table1[[#This Row],[1_h]]&amp;"[ID]"),0)),"")</f>
        <v/>
      </c>
      <c r="L88" s="5" t="str">
        <f ca="1">IFERROR(INDEX(INDIRECT("NOTA_.xlsx!"&amp;Table1[[#This Row],[1_h]]&amp;"[Dpp]"),MATCH(Table1[[#This Row],[ID]],INDIRECT("NOTA_.xlsx!"&amp;Table1[[#This Row],[1_h]]&amp;"[ID]"),0)),"")</f>
        <v/>
      </c>
      <c r="M88" s="5" t="str">
        <f ca="1">IFERROR(INDEX(INDIRECT("NOTA_.xlsx!"&amp;Table1[[#This Row],[1_h]]&amp;"[ppn (11%)]"),MATCH(Table1[[#This Row],[ID]],INDIRECT("NOTA_.xlsx!"&amp;Table1[[#This Row],[1_h]]&amp;"[ID]"),0)),"")</f>
        <v/>
      </c>
      <c r="N88" s="5" t="str">
        <f ca="1">IFERROR(INDEX(INDIRECT("NOTA_.xlsx!"&amp;Table1[[#This Row],[1_h]]&amp;"[total]"),MATCH(Table1[[#This Row],[ID]],INDIRECT("NOTA_.xlsx!"&amp;Table1[[#This Row],[1_h]]&amp;"[ID]"),0)),"")</f>
        <v/>
      </c>
      <c r="O88" s="59" t="str">
        <f ca="1">IF(Table1[[#This Row],[NAMA SUPPLIER]]="","",INDEX(conv1[2],MATCH(Table1[[#This Row],[NAMA SUPPLIER]],conv1[1],0)))</f>
        <v/>
      </c>
      <c r="P88" s="4" t="str">
        <f ca="1">IF(Table1[[#This Row],[NO. INVOICE]]="","",_xlfn.IFNA(MATCH(Table1[[#This Row],[NO. INVOICE]],'[3]REKAP PEMBELIAN'!$C:$C,0),MATCH(VALUE(Table1[[#This Row],[NO. INVOICE]]),'[3]REKAP PEMBELIAN'!$C:$C,0)))</f>
        <v/>
      </c>
    </row>
    <row r="89" spans="1:16" s="50" customFormat="1" x14ac:dyDescent="0.25">
      <c r="A89" s="47">
        <f ca="1">IF(Table1[[#This Row],[NAMA SUPPLIER]]="","",MATCH(Table1[[#This Row],[N_ID]],INDIRECT(Table1[[#This Row],[1_h]]&amp;"[N_ID]"),0))</f>
        <v>1</v>
      </c>
      <c r="B89" s="48" t="s">
        <v>100</v>
      </c>
      <c r="C89" s="47">
        <f ca="1">_xlfn.IFNA(INDEX([6]!PAJAK[ID],MATCH(Table1[[#This Row],[N_ID]],[6]!PAJAK[ID_P],0)),"")</f>
        <v>93</v>
      </c>
      <c r="D89" s="47">
        <f ca="1">IF(Table1[[#This Row],[ID]]="","",INDEX([6]!PAJAK[QB],MATCH(Table1[[#This Row],[ID]],[6]!PAJAK[ID],0)))</f>
        <v>1</v>
      </c>
      <c r="E89" s="49">
        <f ca="1">INDEX([6]!PAJAK[TGL.MASUK],MATCH(Table1[[#This Row],[ID]],[6]!PAJAK[ID],0))</f>
        <v>44758</v>
      </c>
      <c r="F89" s="49">
        <f ca="1">INDEX([6]!PAJAK[TGL.NOTA],MATCH(Table1[[#This Row],[ID]],[6]!PAJAK[ID],0))</f>
        <v>44756</v>
      </c>
      <c r="G89" s="47" t="str">
        <f ca="1">INDEX([6]!PAJAK[NO.NOTA],MATCH(Table1[[#This Row],[ID]],[6]!PAJAK[ID],0))</f>
        <v>L207018</v>
      </c>
      <c r="I89" s="51" t="str">
        <f ca="1">INDEX([6]!PAJAK[SUPPLIER],MATCH(Table1[[#This Row],[ID]],[6]!PAJAK[ID],0))</f>
        <v>PT MITRA GLOBAL NIAGA</v>
      </c>
      <c r="J89" s="52">
        <f ca="1">IFERROR(INDEX(INDIRECT("NOTA_.xlsx!"&amp;Table1[[#This Row],[1_h]]&amp;"[sub total]"),MATCH(Table1[[#This Row],[ID]],INDIRECT("NOTA_.xlsx!"&amp;Table1[[#This Row],[1_h]]&amp;"[ID]"),0)),"")</f>
        <v>6000000</v>
      </c>
      <c r="K89" s="52">
        <f ca="1">IFERROR(INDEX(INDIRECT("NOTA_.xlsx!"&amp;Table1[[#This Row],[1_h]]&amp;"[diskon]"),MATCH(Table1[[#This Row],[ID]],INDIRECT("NOTA_.xlsx!"&amp;Table1[[#This Row],[1_h]]&amp;"[ID]"),0)),"")</f>
        <v>0</v>
      </c>
      <c r="L89" s="52">
        <f ca="1">IFERROR(INDEX(INDIRECT("NOTA_.xlsx!"&amp;Table1[[#This Row],[1_h]]&amp;"[Dpp]"),MATCH(Table1[[#This Row],[ID]],INDIRECT("NOTA_.xlsx!"&amp;Table1[[#This Row],[1_h]]&amp;"[ID]"),0)),"")</f>
        <v>5405405.405405405</v>
      </c>
      <c r="M89" s="52">
        <f ca="1">IFERROR(INDEX(INDIRECT("NOTA_.xlsx!"&amp;Table1[[#This Row],[1_h]]&amp;"[ppn (11%)]"),MATCH(Table1[[#This Row],[ID]],INDIRECT("NOTA_.xlsx!"&amp;Table1[[#This Row],[1_h]]&amp;"[ID]"),0)),"")</f>
        <v>594594.59459459456</v>
      </c>
      <c r="N89" s="52">
        <f ca="1">IFERROR(INDEX(INDIRECT("NOTA_.xlsx!"&amp;Table1[[#This Row],[1_h]]&amp;"[total]"),MATCH(Table1[[#This Row],[ID]],INDIRECT("NOTA_.xlsx!"&amp;Table1[[#This Row],[1_h]]&amp;"[ID]"),0)),"")</f>
        <v>6000000</v>
      </c>
      <c r="O89" s="61" t="str">
        <f ca="1">IF(Table1[[#This Row],[NAMA SUPPLIER]]="","",INDEX(conv1[2],MATCH(Table1[[#This Row],[NAMA SUPPLIER]],conv1[1],0)))</f>
        <v>MGN</v>
      </c>
      <c r="P89" s="51">
        <f ca="1">IF(Table1[[#This Row],[NO. INVOICE]]="","",_xlfn.IFNA(MATCH(Table1[[#This Row],[NO. INVOICE]],'[3]REKAP PEMBELIAN'!$C:$C,0),MATCH(VALUE(Table1[[#This Row],[NO. INVOICE]]),'[3]REKAP PEMBELIAN'!$C:$C,0)))</f>
        <v>455</v>
      </c>
    </row>
    <row r="90" spans="1:16" x14ac:dyDescent="0.25">
      <c r="A90" s="1" t="s">
        <v>129</v>
      </c>
      <c r="E90"/>
      <c r="F90"/>
      <c r="J90" s="5">
        <f ca="1">SUBTOTAL(109,Table1[SUB TOTAL])</f>
        <v>2038577088.25</v>
      </c>
      <c r="K90" s="5">
        <f ca="1">SUBTOTAL(109,Table1[DISKON])</f>
        <v>221216792</v>
      </c>
      <c r="L90" s="5">
        <f ca="1">SUBTOTAL(109,Table1[DPP])</f>
        <v>1637261528.1531532</v>
      </c>
      <c r="M90" s="5">
        <f ca="1">SUBTOTAL(109,Table1[PPN (11%)])</f>
        <v>180098768.09684682</v>
      </c>
      <c r="N90" s="5">
        <f ca="1">SUBTOTAL(109,Table1[TOTAL])</f>
        <v>1817360296.25</v>
      </c>
    </row>
  </sheetData>
  <conditionalFormatting sqref="B91:B1048576 B1:B89">
    <cfRule type="duplicateValues" dxfId="190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9"/>
  <sheetViews>
    <sheetView tabSelected="1" topLeftCell="A168" zoomScaleNormal="100" workbookViewId="0">
      <selection activeCell="J241" sqref="J241"/>
    </sheetView>
  </sheetViews>
  <sheetFormatPr defaultRowHeight="15" outlineLevelCol="1" x14ac:dyDescent="0.25"/>
  <cols>
    <col min="1" max="1" width="12.28515625" customWidth="1"/>
    <col min="2" max="2" width="5.28515625" customWidth="1"/>
    <col min="3" max="3" width="2" customWidth="1"/>
    <col min="4" max="4" width="2.85546875" customWidth="1"/>
    <col min="5" max="5" width="4" customWidth="1"/>
    <col min="6" max="6" width="6.140625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42578125" style="1" customWidth="1"/>
    <col min="14" max="14" width="10.140625" customWidth="1"/>
    <col min="15" max="15" width="7.140625" customWidth="1"/>
    <col min="16" max="16" width="6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9.85546875" customWidth="1" outlineLevel="1"/>
    <col min="22" max="22" width="30.7109375" customWidth="1" outlineLevel="1"/>
    <col min="23" max="23" width="4.140625" customWidth="1" outlineLevel="1"/>
    <col min="24" max="24" width="11.140625" customWidth="1" outlineLevel="1"/>
    <col min="25" max="25" width="11" customWidth="1"/>
  </cols>
  <sheetData>
    <row r="2" spans="1:25" ht="45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4" t="s">
        <v>25</v>
      </c>
      <c r="B3" s="1">
        <f ca="1">IF(ATALI[[#This Row],[N_ID]]="","",INDEX(Table1[ID],MATCH(ATALI[[#This Row],[N_ID]],Table1[N_ID],0)))</f>
        <v>28</v>
      </c>
      <c r="C3" s="1" t="str">
        <f ca="1">IF(ATALI[[#This Row],[ID NOTA]]="","",HYPERLINK("[NOTA_.xlsx]NOTA!e"&amp;INDEX([6]!PAJAK[//],MATCH(ATALI[[#This Row],[ID NOTA]],[6]!PAJAK[ID],0)),"&gt;") )</f>
        <v>&gt;</v>
      </c>
      <c r="D3" s="1">
        <f ca="1">IF(ATALI[[#This Row],[ID NOTA]]="","",INDEX(Table1[QB],MATCH(ATALI[[#This Row],[ID NOTA]],Table1[ID],0)))</f>
        <v>5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145</v>
      </c>
      <c r="F3" s="1"/>
      <c r="G3" s="3">
        <f ca="1">IF(ATALI[[#This Row],[ID NOTA]]="","",INDEX([6]!NOTA[TGL_H],MATCH(ATALI[[#This Row],[ID NOTA]],[6]!NOTA[ID],0)))</f>
        <v>44748</v>
      </c>
      <c r="H3" s="3">
        <f ca="1">IF(ATALI[[#This Row],[ID NOTA]]="","",INDEX([6]!NOTA[TGL.NOTA],MATCH(ATALI[[#This Row],[ID NOTA]],[6]!NOTA[ID],0)))</f>
        <v>44743</v>
      </c>
      <c r="I3" t="str">
        <f ca="1">IF(ATALI[[#This Row],[ID NOTA]]="","",INDEX([6]!NOTA[NO.NOTA],MATCH(ATALI[[#This Row],[ID NOTA]],[6]!NOTA[ID],0)))</f>
        <v>SA220709166</v>
      </c>
      <c r="J3" t="s">
        <v>251</v>
      </c>
      <c r="K3" s="1">
        <f ca="1">IF(ATALI[[#This Row],[//]]="","",IF(INDEX([6]!NOTA[C],ATALI[[#This Row],[//]]-2)="","",INDEX([6]!NOTA[C],ATALI[[#This Row],[//]]-2)))</f>
        <v>1</v>
      </c>
      <c r="L3" s="1">
        <f ca="1">IF(ATALI[[#This Row],[//]]="","",INDEX([6]!NOTA[QTY],ATALI[[#This Row],[//]]-2))</f>
        <v>48</v>
      </c>
      <c r="M3" s="1" t="str">
        <f ca="1">IF(ATALI[[#This Row],[//]]="","",INDEX([6]!NOTA[STN],ATALI[[#This Row],[//]]-2))</f>
        <v>DZ</v>
      </c>
      <c r="N3" s="5">
        <f ca="1">IF(ATALI[[#This Row],[//]]="","",INDEX([6]!NOTA[HARGA SATUAN],ATALI[[#This Row],[//]]-2))</f>
        <v>55800</v>
      </c>
      <c r="O3" s="8">
        <f ca="1">IF(ATALI[[#This Row],[//]]="","",INDEX([6]!NOTA[DISC 1],ATALI[[#This Row],[//]]-2))</f>
        <v>0.125</v>
      </c>
      <c r="P3" s="8">
        <f ca="1">IF(ATALI[[#This Row],[//]]="","",INDEX([6]!NOTA[DISC 2],ATALI[[#This Row],[//]]-2))</f>
        <v>0.05</v>
      </c>
      <c r="Q3" s="5">
        <f ca="1">IF(ATALI[[#This Row],[//]]="","",INDEX([6]!NOTA[TOTAL],ATALI[[#This Row],[//]]-2))</f>
        <v>2226420</v>
      </c>
      <c r="R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Row],[//]]="","",INDEX([6]!NOTA[NAMA BARANG],ATALI[[#This Row],[//]]-2))</f>
        <v>CUTTER A-300 A (AUTOLOCK) JK</v>
      </c>
      <c r="V3" t="str">
        <f ca="1">LOWER(SUBSTITUTE(SUBSTITUTE(SUBSTITUTE(SUBSTITUTE(SUBSTITUTE(SUBSTITUTE(SUBSTITUTE(ATALI[[#This Row],[N.B.nota]]," ",""),"-",""),"(",""),")",""),".",""),",",""),"/",""))</f>
        <v>cuttera300aautolockjk</v>
      </c>
      <c r="W3" t="s">
        <v>137</v>
      </c>
      <c r="X3" t="str">
        <f ca="1">IF(ATALI[[#This Row],[N.B.nota]]="","",ADDRESS(ROW(ATALI[QB]),COLUMN(ATALI[QB]))&amp;":"&amp;ADDRESS(ROW(),COLUMN(ATALI[QB])))</f>
        <v>$D$3:$D$3</v>
      </c>
      <c r="Y3" s="14" t="str">
        <f ca="1">IF(ATALI[[#This Row],[//]]="","",HYPERLINK("[../DB.xlsx]DB!e"&amp;MATCH(ATALI[[#This Row],[concat]],[4]!db[NB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NOTA]]="","",HYPERLINK("[NOTA_.xlsx]NOTA!e"&amp;INDEX([6]!PAJAK[//],MATCH(ATALI[[#This Row],[ID NOTA]],[6]!PAJAK[ID],0)),"&gt;")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146</v>
      </c>
      <c r="F4" s="1"/>
      <c r="G4" s="3" t="str">
        <f>IF(ATALI[[#This Row],[ID NOTA]]="","",INDEX([6]!NOTA[TGL_H],MATCH(ATALI[[#This Row],[ID NOTA]],[6]!NOTA[ID],0)))</f>
        <v/>
      </c>
      <c r="H4" s="3" t="str">
        <f>IF(ATALI[[#This Row],[ID NOTA]]="","",INDEX([6]!NOTA[TGL.NOTA],MATCH(ATALI[[#This Row],[ID NOTA]],[6]!NOTA[ID],0)))</f>
        <v/>
      </c>
      <c r="I4" t="str">
        <f>IF(ATALI[[#This Row],[ID NOTA]]="","",INDEX([6]!NOTA[NO.NOTA],MATCH(ATALI[[#This Row],[ID NOTA]],[6]!NOTA[ID],0)))</f>
        <v/>
      </c>
      <c r="J4" t="s">
        <v>252</v>
      </c>
      <c r="K4" s="1">
        <f ca="1">IF(ATALI[[#This Row],[//]]="","",IF(INDEX([6]!NOTA[C],ATALI[[#This Row],[//]]-2)="","",INDEX([6]!NOTA[C],ATALI[[#This Row],[//]]-2)))</f>
        <v>4</v>
      </c>
      <c r="L4" s="1">
        <f ca="1">IF(ATALI[[#This Row],[//]]="","",INDEX([6]!NOTA[QTY],ATALI[[#This Row],[//]]-2))</f>
        <v>96</v>
      </c>
      <c r="M4" s="1" t="str">
        <f ca="1">IF(ATALI[[#This Row],[//]]="","",INDEX([6]!NOTA[STN],ATALI[[#This Row],[//]]-2))</f>
        <v>PCS</v>
      </c>
      <c r="N4" s="5">
        <f ca="1">IF(ATALI[[#This Row],[//]]="","",INDEX([6]!NOTA[HARGA SATUAN],ATALI[[#This Row],[//]]-2))</f>
        <v>18800</v>
      </c>
      <c r="O4" s="8">
        <f ca="1">IF(ATALI[[#This Row],[//]]="","",INDEX([6]!NOTA[DISC 1],ATALI[[#This Row],[//]]-2))</f>
        <v>0.125</v>
      </c>
      <c r="P4" s="8">
        <f ca="1">IF(ATALI[[#This Row],[//]]="","",INDEX([6]!NOTA[DISC 2],ATALI[[#This Row],[//]]-2))</f>
        <v>0.05</v>
      </c>
      <c r="Q4" s="5">
        <f ca="1">IF(ATALI[[#This Row],[//]]="","",INDEX([6]!NOTA[TOTAL],ATALI[[#This Row],[//]]-2))</f>
        <v>1500240</v>
      </c>
      <c r="R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Row],[//]]="","",INDEX([6]!NOTA[NAMA BARANG],ATALI[[#This Row],[//]]-2))</f>
        <v>TAPE CUTTER TD-103 JK</v>
      </c>
      <c r="V4" t="str">
        <f ca="1">LOWER(SUBSTITUTE(SUBSTITUTE(SUBSTITUTE(SUBSTITUTE(SUBSTITUTE(SUBSTITUTE(SUBSTITUTE(ATALI[[#This Row],[N.B.nota]]," ",""),"-",""),"(",""),")",""),".",""),",",""),"/",""))</f>
        <v>tapecuttertd103jk</v>
      </c>
      <c r="W4" t="s">
        <v>137</v>
      </c>
      <c r="X4" t="str">
        <f ca="1">IF(ATALI[[#This Row],[N.B.nota]]="","",ADDRESS(ROW(ATALI[QB]),COLUMN(ATALI[QB]))&amp;":"&amp;ADDRESS(ROW(),COLUMN(ATALI[QB])))</f>
        <v>$D$3:$D$4</v>
      </c>
      <c r="Y4" s="14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NOTA]]="","",HYPERLINK("[NOTA_.xlsx]NOTA!e"&amp;INDEX([6]!PAJAK[//],MATCH(ATALI[[#This Row],[ID NOTA]],[6]!PAJAK[ID],0)),"&gt;")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147</v>
      </c>
      <c r="F5" s="1"/>
      <c r="G5" s="3" t="str">
        <f>IF(ATALI[[#This Row],[ID NOTA]]="","",INDEX([6]!NOTA[TGL_H],MATCH(ATALI[[#This Row],[ID NOTA]],[6]!NOTA[ID],0)))</f>
        <v/>
      </c>
      <c r="H5" s="3" t="str">
        <f>IF(ATALI[[#This Row],[ID NOTA]]="","",INDEX([6]!NOTA[TGL.NOTA],MATCH(ATALI[[#This Row],[ID NOTA]],[6]!NOTA[ID],0)))</f>
        <v/>
      </c>
      <c r="I5" t="str">
        <f>IF(ATALI[[#This Row],[ID NOTA]]="","",INDEX([6]!NOTA[NO.NOTA],MATCH(ATALI[[#This Row],[ID NOTA]],[6]!NOTA[ID],0)))</f>
        <v/>
      </c>
      <c r="J5" t="s">
        <v>253</v>
      </c>
      <c r="K5" s="1">
        <f ca="1">IF(ATALI[[#This Row],[//]]="","",IF(INDEX([6]!NOTA[C],ATALI[[#This Row],[//]]-2)="","",INDEX([6]!NOTA[C],ATALI[[#This Row],[//]]-2)))</f>
        <v>5</v>
      </c>
      <c r="L5" s="1">
        <f ca="1">IF(ATALI[[#This Row],[//]]="","",INDEX([6]!NOTA[QTY],ATALI[[#This Row],[//]]-2))</f>
        <v>720</v>
      </c>
      <c r="M5" s="1" t="str">
        <f ca="1">IF(ATALI[[#This Row],[//]]="","",INDEX([6]!NOTA[STN],ATALI[[#This Row],[//]]-2))</f>
        <v>SET</v>
      </c>
      <c r="N5" s="5">
        <f ca="1">IF(ATALI[[#This Row],[//]]="","",INDEX([6]!NOTA[HARGA SATUAN],ATALI[[#This Row],[//]]-2))</f>
        <v>11000</v>
      </c>
      <c r="O5" s="8">
        <f ca="1">IF(ATALI[[#This Row],[//]]="","",INDEX([6]!NOTA[DISC 1],ATALI[[#This Row],[//]]-2))</f>
        <v>0.125</v>
      </c>
      <c r="P5" s="8">
        <f ca="1">IF(ATALI[[#This Row],[//]]="","",INDEX([6]!NOTA[DISC 2],ATALI[[#This Row],[//]]-2))</f>
        <v>0.05</v>
      </c>
      <c r="Q5" s="5">
        <f ca="1">IF(ATALI[[#This Row],[//]]="","",INDEX([6]!NOTA[TOTAL],ATALI[[#This Row],[//]]-2))</f>
        <v>6583500</v>
      </c>
      <c r="R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Row],[//]]="","",INDEX([6]!NOTA[NAMA BARANG],ATALI[[#This Row],[//]]-2))</f>
        <v>OIL PASTEL OP-12CH HEXAGONAL JK</v>
      </c>
      <c r="V5" t="str">
        <f ca="1">LOWER(SUBSTITUTE(SUBSTITUTE(SUBSTITUTE(SUBSTITUTE(SUBSTITUTE(SUBSTITUTE(SUBSTITUTE(ATALI[[#This Row],[N.B.nota]]," ",""),"-",""),"(",""),")",""),".",""),",",""),"/",""))</f>
        <v>oilpastelop12chhexagonaljk</v>
      </c>
      <c r="W5" t="s">
        <v>137</v>
      </c>
      <c r="X5" t="str">
        <f ca="1">IF(ATALI[[#This Row],[N.B.nota]]="","",ADDRESS(ROW(ATALI[QB]),COLUMN(ATALI[QB]))&amp;":"&amp;ADDRESS(ROW(),COLUMN(ATALI[QB])))</f>
        <v>$D$3:$D$5</v>
      </c>
      <c r="Y5" s="14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NOTA]]="","",HYPERLINK("[NOTA_.xlsx]NOTA!e"&amp;INDEX([6]!PAJAK[//],MATCH(ATALI[[#This Row],[ID NOTA]],[6]!PAJAK[ID],0)),"&gt;")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148</v>
      </c>
      <c r="F6" s="1"/>
      <c r="G6" s="3" t="str">
        <f>IF(ATALI[[#This Row],[ID NOTA]]="","",INDEX([6]!NOTA[TGL_H],MATCH(ATALI[[#This Row],[ID NOTA]],[6]!NOTA[ID],0)))</f>
        <v/>
      </c>
      <c r="H6" s="3" t="str">
        <f>IF(ATALI[[#This Row],[ID NOTA]]="","",INDEX([6]!NOTA[TGL.NOTA],MATCH(ATALI[[#This Row],[ID NOTA]],[6]!NOTA[ID],0)))</f>
        <v/>
      </c>
      <c r="I6" t="str">
        <f>IF(ATALI[[#This Row],[ID NOTA]]="","",INDEX([6]!NOTA[NO.NOTA],MATCH(ATALI[[#This Row],[ID NOTA]],[6]!NOTA[ID],0)))</f>
        <v/>
      </c>
      <c r="J6" t="s">
        <v>254</v>
      </c>
      <c r="K6" s="1">
        <f ca="1">IF(ATALI[[#This Row],[//]]="","",IF(INDEX([6]!NOTA[C],ATALI[[#This Row],[//]]-2)="","",INDEX([6]!NOTA[C],ATALI[[#This Row],[//]]-2)))</f>
        <v>1</v>
      </c>
      <c r="L6" s="1">
        <f ca="1">IF(ATALI[[#This Row],[//]]="","",INDEX([6]!NOTA[QTY],ATALI[[#This Row],[//]]-2))</f>
        <v>24</v>
      </c>
      <c r="M6" s="1" t="str">
        <f ca="1">IF(ATALI[[#This Row],[//]]="","",INDEX([6]!NOTA[STN],ATALI[[#This Row],[//]]-2))</f>
        <v>SET</v>
      </c>
      <c r="N6" s="5">
        <f ca="1">IF(ATALI[[#This Row],[//]]="","",INDEX([6]!NOTA[HARGA SATUAN],ATALI[[#This Row],[//]]-2))</f>
        <v>66900</v>
      </c>
      <c r="O6" s="8">
        <f ca="1">IF(ATALI[[#This Row],[//]]="","",INDEX([6]!NOTA[DISC 1],ATALI[[#This Row],[//]]-2))</f>
        <v>0.125</v>
      </c>
      <c r="P6" s="8">
        <f ca="1">IF(ATALI[[#This Row],[//]]="","",INDEX([6]!NOTA[DISC 2],ATALI[[#This Row],[//]]-2))</f>
        <v>0.05</v>
      </c>
      <c r="Q6" s="5">
        <f ca="1">IF(ATALI[[#This Row],[//]]="","",INDEX([6]!NOTA[TOTAL],ATALI[[#This Row],[//]]-2))</f>
        <v>1334655</v>
      </c>
      <c r="R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Row],[//]]="","",INDEX([6]!NOTA[NAMA BARANG],ATALI[[#This Row],[//]]-2))</f>
        <v>OIL PASTEL OP-55S PP CASE SEA WORLD JK</v>
      </c>
      <c r="V6" t="str">
        <f ca="1">LOWER(SUBSTITUTE(SUBSTITUTE(SUBSTITUTE(SUBSTITUTE(SUBSTITUTE(SUBSTITUTE(SUBSTITUTE(ATALI[[#This Row],[N.B.nota]]," ",""),"-",""),"(",""),")",""),".",""),",",""),"/",""))</f>
        <v>oilpastelop55sppcaseseaworldjk</v>
      </c>
      <c r="W6" t="s">
        <v>137</v>
      </c>
      <c r="X6" t="str">
        <f ca="1">IF(ATALI[[#This Row],[N.B.nota]]="","",ADDRESS(ROW(ATALI[QB]),COLUMN(ATALI[QB]))&amp;":"&amp;ADDRESS(ROW(),COLUMN(ATALI[QB])))</f>
        <v>$D$3:$D$6</v>
      </c>
      <c r="Y6" s="14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NOTA]]="","",HYPERLINK("[NOTA_.xlsx]NOTA!e"&amp;INDEX([6]!PAJAK[//],MATCH(ATALI[[#This Row],[ID NOTA]],[6]!PAJAK[ID],0)),"&gt;")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149</v>
      </c>
      <c r="F7" s="1"/>
      <c r="G7" s="3" t="str">
        <f>IF(ATALI[[#This Row],[ID NOTA]]="","",INDEX([6]!NOTA[TGL_H],MATCH(ATALI[[#This Row],[ID NOTA]],[6]!NOTA[ID],0)))</f>
        <v/>
      </c>
      <c r="H7" s="3" t="str">
        <f>IF(ATALI[[#This Row],[ID NOTA]]="","",INDEX([6]!NOTA[TGL.NOTA],MATCH(ATALI[[#This Row],[ID NOTA]],[6]!NOTA[ID],0)))</f>
        <v/>
      </c>
      <c r="I7" t="str">
        <f>IF(ATALI[[#This Row],[ID NOTA]]="","",INDEX([6]!NOTA[NO.NOTA],MATCH(ATALI[[#This Row],[ID NOTA]],[6]!NOTA[ID],0)))</f>
        <v/>
      </c>
      <c r="J7" t="s">
        <v>255</v>
      </c>
      <c r="K7" s="1" t="str">
        <f ca="1">IF(ATALI[[#This Row],[//]]="","",IF(INDEX([6]!NOTA[C],ATALI[[#This Row],[//]]-2)="","",INDEX([6]!NOTA[C],ATALI[[#This Row],[//]]-2)))</f>
        <v/>
      </c>
      <c r="L7" s="1">
        <f ca="1">IF(ATALI[[#This Row],[//]]="","",INDEX([6]!NOTA[QTY],ATALI[[#This Row],[//]]-2))</f>
        <v>36</v>
      </c>
      <c r="M7" s="1" t="str">
        <f ca="1">IF(ATALI[[#This Row],[//]]="","",INDEX([6]!NOTA[STN],ATALI[[#This Row],[//]]-2))</f>
        <v>DZ</v>
      </c>
      <c r="N7" s="5">
        <f ca="1">IF(ATALI[[#This Row],[//]]="","",INDEX([6]!NOTA[HARGA SATUAN],ATALI[[#This Row],[//]]-2))</f>
        <v>12600</v>
      </c>
      <c r="O7" s="8">
        <f ca="1">IF(ATALI[[#This Row],[//]]="","",INDEX([6]!NOTA[DISC 1],ATALI[[#This Row],[//]]-2))</f>
        <v>0.1</v>
      </c>
      <c r="P7" s="8">
        <f ca="1">IF(ATALI[[#This Row],[//]]="","",INDEX([6]!NOTA[DISC 2],ATALI[[#This Row],[//]]-2))</f>
        <v>0.05</v>
      </c>
      <c r="Q7" s="5">
        <f ca="1">IF(ATALI[[#This Row],[//]]="","",INDEX([6]!NOTA[TOTAL],ATALI[[#This Row],[//]]-2))</f>
        <v>387828</v>
      </c>
      <c r="R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11644815</v>
      </c>
      <c r="T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/PEMBELIAN OIL PASTEL &amp; CRAYON PUTAR JK</v>
      </c>
      <c r="U7" t="str">
        <f ca="1">IF(ATALI[[#This Row],[//]]="","",INDEX([6]!NOTA[NAMA BARANG],ATALI[[#This Row],[//]]-2))</f>
        <v>BALLPEN BP-338 VOCUS (BLACK) JK</v>
      </c>
      <c r="V7" t="str">
        <f ca="1">LOWER(SUBSTITUTE(SUBSTITUTE(SUBSTITUTE(SUBSTITUTE(SUBSTITUTE(SUBSTITUTE(SUBSTITUTE(ATALI[[#This Row],[N.B.nota]]," ",""),"-",""),"(",""),")",""),".",""),",",""),"/",""))</f>
        <v>ballpenbp338vocusblackjk</v>
      </c>
      <c r="W7" t="s">
        <v>137</v>
      </c>
      <c r="X7" t="str">
        <f ca="1">IF(ATALI[[#This Row],[N.B.nota]]="","",ADDRESS(ROW(ATALI[QB]),COLUMN(ATALI[QB]))&amp;":"&amp;ADDRESS(ROW(),COLUMN(ATALI[QB])))</f>
        <v>$D$3:$D$7</v>
      </c>
      <c r="Y7" s="14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NOTA]]="","",HYPERLINK("[NOTA_.xlsx]NOTA!e"&amp;INDEX([6]!PAJAK[//],MATCH(ATALI[[#This Row],[ID NOTA]],[6]!PAJAK[ID],0)),"&gt;") )</f>
        <v/>
      </c>
      <c r="D8" s="1" t="str">
        <f>IF(ATALI[[#This Row],[ID NOTA]]="","",INDEX(Table1[QB],MATCH(ATALI[[#This Row],[ID NOTA]],Table1[ID],0)))</f>
        <v/>
      </c>
      <c r="E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" s="1"/>
      <c r="G8" s="3" t="str">
        <f>IF(ATALI[[#This Row],[ID NOTA]]="","",INDEX([6]!NOTA[TGL_H],MATCH(ATALI[[#This Row],[ID NOTA]],[6]!NOTA[ID],0)))</f>
        <v/>
      </c>
      <c r="H8" s="3" t="str">
        <f>IF(ATALI[[#This Row],[ID NOTA]]="","",INDEX([6]!NOTA[TGL.NOTA],MATCH(ATALI[[#This Row],[ID NOTA]],[6]!NOTA[ID],0)))</f>
        <v/>
      </c>
      <c r="I8" t="str">
        <f>IF(ATALI[[#This Row],[ID NOTA]]="","",INDEX([6]!NOTA[NO.NOTA],MATCH(ATALI[[#This Row],[ID NOTA]],[6]!NOTA[ID],0)))</f>
        <v/>
      </c>
      <c r="J8" t="s">
        <v>136</v>
      </c>
      <c r="K8" s="1" t="str">
        <f ca="1">IF(ATALI[[#This Row],[//]]="","",IF(INDEX([6]!NOTA[C],ATALI[[#This Row],[//]]-2)="","",INDEX([6]!NOTA[C],ATALI[[#This Row],[//]]-2)))</f>
        <v/>
      </c>
      <c r="L8" s="1" t="str">
        <f ca="1">IF(ATALI[[#This Row],[//]]="","",INDEX([6]!NOTA[QTY],ATALI[[#This Row],[//]]-2))</f>
        <v/>
      </c>
      <c r="M8" s="1" t="str">
        <f ca="1">IF(ATALI[[#This Row],[//]]="","",INDEX([6]!NOTA[STN],ATALI[[#This Row],[//]]-2))</f>
        <v/>
      </c>
      <c r="N8" s="5" t="str">
        <f ca="1">IF(ATALI[[#This Row],[//]]="","",INDEX([6]!NOTA[HARGA SATUAN],ATALI[[#This Row],[//]]-2))</f>
        <v/>
      </c>
      <c r="O8" s="8" t="str">
        <f ca="1">IF(ATALI[[#This Row],[//]]="","",INDEX([6]!NOTA[DISC 1],ATALI[[#This Row],[//]]-2))</f>
        <v/>
      </c>
      <c r="P8" s="8" t="str">
        <f ca="1">IF(ATALI[[#This Row],[//]]="","",INDEX([6]!NOTA[DISC 2],ATALI[[#This Row],[//]]-2))</f>
        <v/>
      </c>
      <c r="Q8" s="5" t="str">
        <f ca="1">IF(ATALI[[#This Row],[//]]="","",INDEX([6]!NOTA[TOTAL],ATALI[[#This Row],[//]]-2))</f>
        <v/>
      </c>
      <c r="R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Row],[//]]="","",INDEX([6]!NOTA[NAMA BARANG],ATALI[[#This Row],[//]]-2))</f>
        <v/>
      </c>
      <c r="V8" t="str">
        <f ca="1">LOWER(SUBSTITUTE(SUBSTITUTE(SUBSTITUTE(SUBSTITUTE(SUBSTITUTE(SUBSTITUTE(SUBSTITUTE(ATALI[[#This Row],[N.B.nota]]," ",""),"-",""),"(",""),")",""),".",""),",",""),"/",""))</f>
        <v/>
      </c>
      <c r="W8" t="s">
        <v>136</v>
      </c>
      <c r="X8" t="str">
        <f ca="1">IF(ATALI[[#This Row],[N.B.nota]]="","",ADDRESS(ROW(ATALI[QB]),COLUMN(ATALI[QB]))&amp;":"&amp;ADDRESS(ROW(),COLUMN(ATALI[QB])))</f>
        <v/>
      </c>
      <c r="Y8" s="14" t="str">
        <f ca="1">IF(ATALI[[#This Row],[//]]="","",HYPERLINK("[../DB.xlsx]DB!e"&amp;MATCH(ATALI[[#This Row],[concat]],[4]!db[NB NOTA_C],0)+1,"&gt;"))</f>
        <v/>
      </c>
    </row>
    <row r="9" spans="1:25" x14ac:dyDescent="0.25">
      <c r="A9" s="4" t="s">
        <v>26</v>
      </c>
      <c r="B9" s="1">
        <f ca="1">IF(ATALI[[#This Row],[N_ID]]="","",INDEX(Table1[ID],MATCH(ATALI[[#This Row],[N_ID]],Table1[N_ID],0)))</f>
        <v>37</v>
      </c>
      <c r="C9" s="1" t="str">
        <f ca="1">IF(ATALI[[#This Row],[ID NOTA]]="","",HYPERLINK("[NOTA_.xlsx]NOTA!e"&amp;INDEX([6]!PAJAK[//],MATCH(ATALI[[#This Row],[ID NOTA]],[6]!PAJAK[ID],0)),"&gt;") )</f>
        <v>&gt;</v>
      </c>
      <c r="D9" s="1">
        <f ca="1">IF(ATALI[[#This Row],[ID NOTA]]="","",INDEX(Table1[QB],MATCH(ATALI[[#This Row],[ID NOTA]],Table1[ID],0)))</f>
        <v>3</v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179</v>
      </c>
      <c r="F9" s="1"/>
      <c r="G9" s="3">
        <f ca="1">IF(ATALI[[#This Row],[ID NOTA]]="","",INDEX([6]!NOTA[TGL_H],MATCH(ATALI[[#This Row],[ID NOTA]],[6]!NOTA[ID],0)))</f>
        <v>44749</v>
      </c>
      <c r="H9" s="3">
        <f ca="1">IF(ATALI[[#This Row],[ID NOTA]]="","",INDEX([6]!NOTA[TGL.NOTA],MATCH(ATALI[[#This Row],[ID NOTA]],[6]!NOTA[ID],0)))</f>
        <v>44744</v>
      </c>
      <c r="I9" t="str">
        <f ca="1">IF(ATALI[[#This Row],[ID NOTA]]="","",INDEX([6]!NOTA[NO.NOTA],MATCH(ATALI[[#This Row],[ID NOTA]],[6]!NOTA[ID],0)))</f>
        <v>SA220709246</v>
      </c>
      <c r="J9" t="s">
        <v>256</v>
      </c>
      <c r="K9" s="1">
        <f ca="1">IF(ATALI[[#This Row],[//]]="","",IF(INDEX([6]!NOTA[C],ATALI[[#This Row],[//]]-2)="","",INDEX([6]!NOTA[C],ATALI[[#This Row],[//]]-2)))</f>
        <v>5</v>
      </c>
      <c r="L9" s="1">
        <f ca="1">IF(ATALI[[#This Row],[//]]="","",INDEX([6]!NOTA[QTY],ATALI[[#This Row],[//]]-2))</f>
        <v>720</v>
      </c>
      <c r="M9" s="1" t="str">
        <f ca="1">IF(ATALI[[#This Row],[//]]="","",INDEX([6]!NOTA[STN],ATALI[[#This Row],[//]]-2))</f>
        <v>PCS</v>
      </c>
      <c r="N9" s="5">
        <f ca="1">IF(ATALI[[#This Row],[//]]="","",INDEX([6]!NOTA[HARGA SATUAN],ATALI[[#This Row],[//]]-2))</f>
        <v>4100</v>
      </c>
      <c r="O9" s="8">
        <f ca="1">IF(ATALI[[#This Row],[//]]="","",INDEX([6]!NOTA[DISC 1],ATALI[[#This Row],[//]]-2))</f>
        <v>0.125</v>
      </c>
      <c r="P9" s="8">
        <f ca="1">IF(ATALI[[#This Row],[//]]="","",INDEX([6]!NOTA[DISC 2],ATALI[[#This Row],[//]]-2))</f>
        <v>0.05</v>
      </c>
      <c r="Q9" s="5">
        <f ca="1">IF(ATALI[[#This Row],[//]]="","",INDEX([6]!NOTA[TOTAL],ATALI[[#This Row],[//]]-2))</f>
        <v>2453850</v>
      </c>
      <c r="R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Row],[//]]="","",INDEX([6]!NOTA[NAMA BARANG],ATALI[[#This Row],[//]]-2))</f>
        <v>SCISSOR SC-828 JK</v>
      </c>
      <c r="V9" t="str">
        <f ca="1">LOWER(SUBSTITUTE(SUBSTITUTE(SUBSTITUTE(SUBSTITUTE(SUBSTITUTE(SUBSTITUTE(SUBSTITUTE(ATALI[[#This Row],[N.B.nota]]," ",""),"-",""),"(",""),")",""),".",""),",",""),"/",""))</f>
        <v>scissorsc828jk</v>
      </c>
      <c r="W9" t="s">
        <v>137</v>
      </c>
      <c r="X9" t="str">
        <f ca="1">IF(ATALI[[#This Row],[N.B.nota]]="","",ADDRESS(ROW(ATALI[QB]),COLUMN(ATALI[QB]))&amp;":"&amp;ADDRESS(ROW(),COLUMN(ATALI[QB])))</f>
        <v>$D$3:$D$9</v>
      </c>
      <c r="Y9" s="14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NOTA]]="","",HYPERLINK("[NOTA_.xlsx]NOTA!e"&amp;INDEX([6]!PAJAK[//],MATCH(ATALI[[#This Row],[ID NOTA]],[6]!PAJAK[ID],0)),"&gt;")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180</v>
      </c>
      <c r="F10" s="1"/>
      <c r="G10" s="3" t="str">
        <f>IF(ATALI[[#This Row],[ID NOTA]]="","",INDEX([6]!NOTA[TGL_H],MATCH(ATALI[[#This Row],[ID NOTA]],[6]!NOTA[ID],0)))</f>
        <v/>
      </c>
      <c r="H10" s="3" t="str">
        <f>IF(ATALI[[#This Row],[ID NOTA]]="","",INDEX([6]!NOTA[TGL.NOTA],MATCH(ATALI[[#This Row],[ID NOTA]],[6]!NOTA[ID],0)))</f>
        <v/>
      </c>
      <c r="I10" t="str">
        <f>IF(ATALI[[#This Row],[ID NOTA]]="","",INDEX([6]!NOTA[NO.NOTA],MATCH(ATALI[[#This Row],[ID NOTA]],[6]!NOTA[ID],0)))</f>
        <v/>
      </c>
      <c r="J10" t="s">
        <v>257</v>
      </c>
      <c r="K10" s="1">
        <f ca="1">IF(ATALI[[#This Row],[//]]="","",IF(INDEX([6]!NOTA[C],ATALI[[#This Row],[//]]-2)="","",INDEX([6]!NOTA[C],ATALI[[#This Row],[//]]-2)))</f>
        <v>5</v>
      </c>
      <c r="L10" s="1">
        <f ca="1">IF(ATALI[[#This Row],[//]]="","",INDEX([6]!NOTA[QTY],ATALI[[#This Row],[//]]-2))</f>
        <v>720</v>
      </c>
      <c r="M10" s="1" t="str">
        <f ca="1">IF(ATALI[[#This Row],[//]]="","",INDEX([6]!NOTA[STN],ATALI[[#This Row],[//]]-2))</f>
        <v>PCS</v>
      </c>
      <c r="N10" s="5">
        <f ca="1">IF(ATALI[[#This Row],[//]]="","",INDEX([6]!NOTA[HARGA SATUAN],ATALI[[#This Row],[//]]-2))</f>
        <v>6300</v>
      </c>
      <c r="O10" s="8">
        <f ca="1">IF(ATALI[[#This Row],[//]]="","",INDEX([6]!NOTA[DISC 1],ATALI[[#This Row],[//]]-2))</f>
        <v>0.125</v>
      </c>
      <c r="P10" s="8">
        <f ca="1">IF(ATALI[[#This Row],[//]]="","",INDEX([6]!NOTA[DISC 2],ATALI[[#This Row],[//]]-2))</f>
        <v>0.05</v>
      </c>
      <c r="Q10" s="5">
        <f ca="1">IF(ATALI[[#This Row],[//]]="","",INDEX([6]!NOTA[TOTAL],ATALI[[#This Row],[//]]-2))</f>
        <v>3770550</v>
      </c>
      <c r="R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Row],[//]]="","",INDEX([6]!NOTA[NAMA BARANG],ATALI[[#This Row],[//]]-2))</f>
        <v>SCISSOR SC-838 JK</v>
      </c>
      <c r="V10" t="str">
        <f ca="1">LOWER(SUBSTITUTE(SUBSTITUTE(SUBSTITUTE(SUBSTITUTE(SUBSTITUTE(SUBSTITUTE(SUBSTITUTE(ATALI[[#This Row],[N.B.nota]]," ",""),"-",""),"(",""),")",""),".",""),",",""),"/",""))</f>
        <v>scissorsc838jk</v>
      </c>
      <c r="W10" t="s">
        <v>137</v>
      </c>
      <c r="X10" t="str">
        <f ca="1">IF(ATALI[[#This Row],[N.B.nota]]="","",ADDRESS(ROW(ATALI[QB]),COLUMN(ATALI[QB]))&amp;":"&amp;ADDRESS(ROW(),COLUMN(ATALI[QB])))</f>
        <v>$D$3:$D$10</v>
      </c>
      <c r="Y10" s="14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NOTA]]="","",HYPERLINK("[NOTA_.xlsx]NOTA!e"&amp;INDEX([6]!PAJAK[//],MATCH(ATALI[[#This Row],[ID NOTA]],[6]!PAJAK[ID],0)),"&gt;")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181</v>
      </c>
      <c r="F11" s="1"/>
      <c r="G11" s="3" t="str">
        <f>IF(ATALI[[#This Row],[ID NOTA]]="","",INDEX([6]!NOTA[TGL_H],MATCH(ATALI[[#This Row],[ID NOTA]],[6]!NOTA[ID],0)))</f>
        <v/>
      </c>
      <c r="H11" s="3" t="str">
        <f>IF(ATALI[[#This Row],[ID NOTA]]="","",INDEX([6]!NOTA[TGL.NOTA],MATCH(ATALI[[#This Row],[ID NOTA]],[6]!NOTA[ID],0)))</f>
        <v/>
      </c>
      <c r="I11" t="str">
        <f>IF(ATALI[[#This Row],[ID NOTA]]="","",INDEX([6]!NOTA[NO.NOTA],MATCH(ATALI[[#This Row],[ID NOTA]],[6]!NOTA[ID],0)))</f>
        <v/>
      </c>
      <c r="J11" t="s">
        <v>258</v>
      </c>
      <c r="K11" s="1">
        <f ca="1">IF(ATALI[[#This Row],[//]]="","",IF(INDEX([6]!NOTA[C],ATALI[[#This Row],[//]]-2)="","",INDEX([6]!NOTA[C],ATALI[[#This Row],[//]]-2)))</f>
        <v>2</v>
      </c>
      <c r="L11" s="1">
        <f ca="1">IF(ATALI[[#This Row],[//]]="","",INDEX([6]!NOTA[QTY],ATALI[[#This Row],[//]]-2))</f>
        <v>288</v>
      </c>
      <c r="M11" s="1" t="str">
        <f ca="1">IF(ATALI[[#This Row],[//]]="","",INDEX([6]!NOTA[STN],ATALI[[#This Row],[//]]-2))</f>
        <v>PCS</v>
      </c>
      <c r="N11" s="5">
        <f ca="1">IF(ATALI[[#This Row],[//]]="","",INDEX([6]!NOTA[HARGA SATUAN],ATALI[[#This Row],[//]]-2))</f>
        <v>7700</v>
      </c>
      <c r="O11" s="8">
        <f ca="1">IF(ATALI[[#This Row],[//]]="","",INDEX([6]!NOTA[DISC 1],ATALI[[#This Row],[//]]-2))</f>
        <v>0.125</v>
      </c>
      <c r="P11" s="8">
        <f ca="1">IF(ATALI[[#This Row],[//]]="","",INDEX([6]!NOTA[DISC 2],ATALI[[#This Row],[//]]-2))</f>
        <v>0.05</v>
      </c>
      <c r="Q11" s="5">
        <f ca="1">IF(ATALI[[#This Row],[//]]="","",INDEX([6]!NOTA[TOTAL],ATALI[[#This Row],[//]]-2))</f>
        <v>1843380</v>
      </c>
      <c r="R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8067780</v>
      </c>
      <c r="T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Row],[//]]="","",INDEX([6]!NOTA[NAMA BARANG],ATALI[[#This Row],[//]]-2))</f>
        <v>SCISSOR SC-838 SG JK</v>
      </c>
      <c r="V11" t="str">
        <f ca="1">LOWER(SUBSTITUTE(SUBSTITUTE(SUBSTITUTE(SUBSTITUTE(SUBSTITUTE(SUBSTITUTE(SUBSTITUTE(ATALI[[#This Row],[N.B.nota]]," ",""),"-",""),"(",""),")",""),".",""),",",""),"/",""))</f>
        <v>scissorsc838sgjk</v>
      </c>
      <c r="W11" t="s">
        <v>137</v>
      </c>
      <c r="X11" t="str">
        <f ca="1">IF(ATALI[[#This Row],[N.B.nota]]="","",ADDRESS(ROW(ATALI[QB]),COLUMN(ATALI[QB]))&amp;":"&amp;ADDRESS(ROW(),COLUMN(ATALI[QB])))</f>
        <v>$D$3:$D$11</v>
      </c>
      <c r="Y11" s="14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NOTA]]="","",HYPERLINK("[NOTA_.xlsx]NOTA!e"&amp;INDEX([6]!PAJAK[//],MATCH(ATALI[[#This Row],[ID NOTA]],[6]!PAJAK[ID],0)),"&gt;") )</f>
        <v/>
      </c>
      <c r="D12" s="1" t="str">
        <f>IF(ATALI[[#This Row],[ID NOTA]]="","",INDEX(Table1[QB],MATCH(ATALI[[#This Row],[ID NOTA]],Table1[ID],0)))</f>
        <v/>
      </c>
      <c r="E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" s="1"/>
      <c r="G12" s="3" t="str">
        <f>IF(ATALI[[#This Row],[ID NOTA]]="","",INDEX([6]!NOTA[TGL_H],MATCH(ATALI[[#This Row],[ID NOTA]],[6]!NOTA[ID],0)))</f>
        <v/>
      </c>
      <c r="H12" s="3" t="str">
        <f>IF(ATALI[[#This Row],[ID NOTA]]="","",INDEX([6]!NOTA[TGL.NOTA],MATCH(ATALI[[#This Row],[ID NOTA]],[6]!NOTA[ID],0)))</f>
        <v/>
      </c>
      <c r="I12" t="str">
        <f>IF(ATALI[[#This Row],[ID NOTA]]="","",INDEX([6]!NOTA[NO.NOTA],MATCH(ATALI[[#This Row],[ID NOTA]],[6]!NOTA[ID],0)))</f>
        <v/>
      </c>
      <c r="J12" t="s">
        <v>136</v>
      </c>
      <c r="K12" s="1" t="str">
        <f ca="1">IF(ATALI[[#This Row],[//]]="","",IF(INDEX([6]!NOTA[C],ATALI[[#This Row],[//]]-2)="","",INDEX([6]!NOTA[C],ATALI[[#This Row],[//]]-2)))</f>
        <v/>
      </c>
      <c r="L12" s="1" t="str">
        <f ca="1">IF(ATALI[[#This Row],[//]]="","",INDEX([6]!NOTA[QTY],ATALI[[#This Row],[//]]-2))</f>
        <v/>
      </c>
      <c r="M12" s="1" t="str">
        <f ca="1">IF(ATALI[[#This Row],[//]]="","",INDEX([6]!NOTA[STN],ATALI[[#This Row],[//]]-2))</f>
        <v/>
      </c>
      <c r="N12" s="5" t="str">
        <f ca="1">IF(ATALI[[#This Row],[//]]="","",INDEX([6]!NOTA[HARGA SATUAN],ATALI[[#This Row],[//]]-2))</f>
        <v/>
      </c>
      <c r="O12" s="8" t="str">
        <f ca="1">IF(ATALI[[#This Row],[//]]="","",INDEX([6]!NOTA[DISC 1],ATALI[[#This Row],[//]]-2))</f>
        <v/>
      </c>
      <c r="P12" s="8" t="str">
        <f ca="1">IF(ATALI[[#This Row],[//]]="","",INDEX([6]!NOTA[DISC 2],ATALI[[#This Row],[//]]-2))</f>
        <v/>
      </c>
      <c r="Q12" s="5" t="str">
        <f ca="1">IF(ATALI[[#This Row],[//]]="","",INDEX([6]!NOTA[TOTAL],ATALI[[#This Row],[//]]-2))</f>
        <v/>
      </c>
      <c r="R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Row],[//]]="","",INDEX([6]!NOTA[NAMA BARANG],ATALI[[#This Row],[//]]-2))</f>
        <v/>
      </c>
      <c r="V12" t="str">
        <f ca="1">LOWER(SUBSTITUTE(SUBSTITUTE(SUBSTITUTE(SUBSTITUTE(SUBSTITUTE(SUBSTITUTE(SUBSTITUTE(ATALI[[#This Row],[N.B.nota]]," ",""),"-",""),"(",""),")",""),".",""),",",""),"/",""))</f>
        <v/>
      </c>
      <c r="W12" t="s">
        <v>136</v>
      </c>
      <c r="X12" t="str">
        <f ca="1">IF(ATALI[[#This Row],[N.B.nota]]="","",ADDRESS(ROW(ATALI[QB]),COLUMN(ATALI[QB]))&amp;":"&amp;ADDRESS(ROW(),COLUMN(ATALI[QB])))</f>
        <v/>
      </c>
      <c r="Y12" s="14" t="str">
        <f ca="1">IF(ATALI[[#This Row],[//]]="","",HYPERLINK("[../DB.xlsx]DB!e"&amp;MATCH(ATALI[[#This Row],[concat]],[4]!db[NB NOTA_C],0)+1,"&gt;"))</f>
        <v/>
      </c>
    </row>
    <row r="13" spans="1:25" x14ac:dyDescent="0.25">
      <c r="A13" s="4" t="s">
        <v>27</v>
      </c>
      <c r="B13" s="1">
        <f ca="1">IF(ATALI[[#This Row],[N_ID]]="","",INDEX(Table1[ID],MATCH(ATALI[[#This Row],[N_ID]],Table1[N_ID],0)))</f>
        <v>38</v>
      </c>
      <c r="C13" s="1" t="str">
        <f ca="1">IF(ATALI[[#This Row],[ID NOTA]]="","",HYPERLINK("[NOTA_.xlsx]NOTA!e"&amp;INDEX([6]!PAJAK[//],MATCH(ATALI[[#This Row],[ID NOTA]],[6]!PAJAK[ID],0)),"&gt;") )</f>
        <v>&gt;</v>
      </c>
      <c r="D13" s="1">
        <f ca="1">IF(ATALI[[#This Row],[ID NOTA]]="","",INDEX(Table1[QB],MATCH(ATALI[[#This Row],[ID NOTA]],Table1[ID],0)))</f>
        <v>3</v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183</v>
      </c>
      <c r="F13" s="1"/>
      <c r="G13" s="3">
        <f ca="1">IF(ATALI[[#This Row],[ID NOTA]]="","",INDEX([6]!NOTA[TGL_H],MATCH(ATALI[[#This Row],[ID NOTA]],[6]!NOTA[ID],0)))</f>
        <v>44749</v>
      </c>
      <c r="H13" s="3">
        <f ca="1">IF(ATALI[[#This Row],[ID NOTA]]="","",INDEX([6]!NOTA[TGL.NOTA],MATCH(ATALI[[#This Row],[ID NOTA]],[6]!NOTA[ID],0)))</f>
        <v>44746</v>
      </c>
      <c r="I13" t="str">
        <f ca="1">IF(ATALI[[#This Row],[ID NOTA]]="","",INDEX([6]!NOTA[NO.NOTA],MATCH(ATALI[[#This Row],[ID NOTA]],[6]!NOTA[ID],0)))</f>
        <v>SA220709303</v>
      </c>
      <c r="J13" t="s">
        <v>259</v>
      </c>
      <c r="K13" s="1">
        <f ca="1">IF(ATALI[[#This Row],[//]]="","",IF(INDEX([6]!NOTA[C],ATALI[[#This Row],[//]]-2)="","",INDEX([6]!NOTA[C],ATALI[[#This Row],[//]]-2)))</f>
        <v>6</v>
      </c>
      <c r="L13" s="1">
        <f ca="1">IF(ATALI[[#This Row],[//]]="","",INDEX([6]!NOTA[QTY],ATALI[[#This Row],[//]]-2))</f>
        <v>864</v>
      </c>
      <c r="M13" s="1" t="str">
        <f ca="1">IF(ATALI[[#This Row],[//]]="","",INDEX([6]!NOTA[STN],ATALI[[#This Row],[//]]-2))</f>
        <v>SET</v>
      </c>
      <c r="N13" s="5">
        <f ca="1">IF(ATALI[[#This Row],[//]]="","",INDEX([6]!NOTA[HARGA SATUAN],ATALI[[#This Row],[//]]-2))</f>
        <v>11600</v>
      </c>
      <c r="O13" s="8">
        <f ca="1">IF(ATALI[[#This Row],[//]]="","",INDEX([6]!NOTA[DISC 1],ATALI[[#This Row],[//]]-2))</f>
        <v>0.125</v>
      </c>
      <c r="P13" s="8">
        <f ca="1">IF(ATALI[[#This Row],[//]]="","",INDEX([6]!NOTA[DISC 2],ATALI[[#This Row],[//]]-2))</f>
        <v>0.05</v>
      </c>
      <c r="Q13" s="5">
        <f ca="1">IF(ATALI[[#This Row],[//]]="","",INDEX([6]!NOTA[TOTAL],ATALI[[#This Row],[//]]-2))</f>
        <v>8331120</v>
      </c>
      <c r="R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" s="15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Row],[//]]="","",INDEX([6]!NOTA[NAMA BARANG],ATALI[[#This Row],[//]]-2))</f>
        <v>OIL PASTEL OP-12CHC COMPACT JK</v>
      </c>
      <c r="V13" t="str">
        <f ca="1">LOWER(SUBSTITUTE(SUBSTITUTE(SUBSTITUTE(SUBSTITUTE(SUBSTITUTE(SUBSTITUTE(SUBSTITUTE(ATALI[[#This Row],[N.B.nota]]," ",""),"-",""),"(",""),")",""),".",""),",",""),"/",""))</f>
        <v>oilpastelop12chccompactjk</v>
      </c>
      <c r="W13" t="s">
        <v>137</v>
      </c>
      <c r="X13" t="str">
        <f ca="1">IF(ATALI[[#This Row],[N.B.nota]]="","",ADDRESS(ROW(ATALI[QB]),COLUMN(ATALI[QB]))&amp;":"&amp;ADDRESS(ROW(),COLUMN(ATALI[QB])))</f>
        <v>$D$3:$D$13</v>
      </c>
      <c r="Y13" s="16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4"/>
      <c r="B14" s="6" t="str">
        <f>IF(ATALI[[#This Row],[N_ID]]="","",INDEX(Table1[ID],MATCH(ATALI[[#This Row],[N_ID]],Table1[N_ID],0)))</f>
        <v/>
      </c>
      <c r="C14" s="6" t="str">
        <f>IF(ATALI[[#This Row],[ID NOTA]]="","",HYPERLINK("[NOTA_.xlsx]NOTA!e"&amp;INDEX([6]!PAJAK[//],MATCH(ATALI[[#This Row],[ID NOTA]],[6]!PAJAK[ID],0)),"&gt;") )</f>
        <v/>
      </c>
      <c r="D14" s="6" t="str">
        <f>IF(ATALI[[#This Row],[ID NOTA]]="","",INDEX(Table1[QB],MATCH(ATALI[[#This Row],[ID NOTA]],Table1[ID],0)))</f>
        <v/>
      </c>
      <c r="E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184</v>
      </c>
      <c r="F14" s="6"/>
      <c r="G14" s="3" t="str">
        <f>IF(ATALI[[#This Row],[ID NOTA]]="","",INDEX([6]!NOTA[TGL_H],MATCH(ATALI[[#This Row],[ID NOTA]],[6]!NOTA[ID],0)))</f>
        <v/>
      </c>
      <c r="H14" s="3" t="str">
        <f>IF(ATALI[[#This Row],[ID NOTA]]="","",INDEX([6]!NOTA[TGL.NOTA],MATCH(ATALI[[#This Row],[ID NOTA]],[6]!NOTA[ID],0)))</f>
        <v/>
      </c>
      <c r="I14" s="4" t="str">
        <f>IF(ATALI[[#This Row],[ID NOTA]]="","",INDEX([6]!NOTA[NO.NOTA],MATCH(ATALI[[#This Row],[ID NOTA]],[6]!NOTA[ID],0)))</f>
        <v/>
      </c>
      <c r="J14" s="4" t="s">
        <v>255</v>
      </c>
      <c r="K14" s="6" t="str">
        <f ca="1">IF(ATALI[[#This Row],[//]]="","",IF(INDEX([6]!NOTA[C],ATALI[[#This Row],[//]]-2)="","",INDEX([6]!NOTA[C],ATALI[[#This Row],[//]]-2)))</f>
        <v/>
      </c>
      <c r="L14" s="6">
        <f ca="1">IF(ATALI[[#This Row],[//]]="","",INDEX([6]!NOTA[QTY],ATALI[[#This Row],[//]]-2))</f>
        <v>36</v>
      </c>
      <c r="M14" s="6" t="str">
        <f ca="1">IF(ATALI[[#This Row],[//]]="","",INDEX([6]!NOTA[STN],ATALI[[#This Row],[//]]-2))</f>
        <v>DZ</v>
      </c>
      <c r="N14" s="5">
        <f ca="1">IF(ATALI[[#This Row],[//]]="","",INDEX([6]!NOTA[HARGA SATUAN],ATALI[[#This Row],[//]]-2))</f>
        <v>12600</v>
      </c>
      <c r="O14" s="8">
        <f ca="1">IF(ATALI[[#This Row],[//]]="","",INDEX([6]!NOTA[DISC 1],ATALI[[#This Row],[//]]-2))</f>
        <v>0.1</v>
      </c>
      <c r="P14" s="8">
        <f ca="1">IF(ATALI[[#This Row],[//]]="","",INDEX([6]!NOTA[DISC 2],ATALI[[#This Row],[//]]-2))</f>
        <v>0.05</v>
      </c>
      <c r="Q14" s="5">
        <f ca="1">IF(ATALI[[#This Row],[//]]="","",INDEX([6]!NOTA[TOTAL],ATALI[[#This Row],[//]]-2))</f>
        <v>387828</v>
      </c>
      <c r="R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/PEMBELIAN OIL PASTEL &amp; CRAYON PUTAR JK</v>
      </c>
      <c r="U14" s="4" t="str">
        <f ca="1">IF(ATALI[[#This Row],[//]]="","",INDEX([6]!NOTA[NAMA BARANG],ATALI[[#This Row],[//]]-2))</f>
        <v>BALLPEN BP-338 VOCUS (BLACK) JK</v>
      </c>
      <c r="V14" s="4" t="str">
        <f ca="1">LOWER(SUBSTITUTE(SUBSTITUTE(SUBSTITUTE(SUBSTITUTE(SUBSTITUTE(SUBSTITUTE(SUBSTITUTE(ATALI[[#This Row],[N.B.nota]]," ",""),"-",""),"(",""),")",""),".",""),",",""),"/",""))</f>
        <v>ballpenbp338vocusblackjk</v>
      </c>
      <c r="W14" s="4" t="s">
        <v>137</v>
      </c>
      <c r="X14" s="4" t="str">
        <f ca="1">IF(ATALI[[#This Row],[N.B.nota]]="","",ADDRESS(ROW(ATALI[QB]),COLUMN(ATALI[QB]))&amp;":"&amp;ADDRESS(ROW(),COLUMN(ATALI[QB])))</f>
        <v>$D$3:$D$14</v>
      </c>
      <c r="Y14" s="14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4"/>
      <c r="B15" s="6" t="str">
        <f>IF(ATALI[[#This Row],[N_ID]]="","",INDEX(Table1[ID],MATCH(ATALI[[#This Row],[N_ID]],Table1[N_ID],0)))</f>
        <v/>
      </c>
      <c r="C15" s="6" t="str">
        <f>IF(ATALI[[#This Row],[ID NOTA]]="","",HYPERLINK("[NOTA_.xlsx]NOTA!e"&amp;INDEX([6]!PAJAK[//],MATCH(ATALI[[#This Row],[ID NOTA]],[6]!PAJAK[ID],0)),"&gt;") )</f>
        <v/>
      </c>
      <c r="D15" s="6" t="str">
        <f>IF(ATALI[[#This Row],[ID NOTA]]="","",INDEX(Table1[QB],MATCH(ATALI[[#This Row],[ID NOTA]],Table1[ID],0)))</f>
        <v/>
      </c>
      <c r="E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185</v>
      </c>
      <c r="F15" s="6"/>
      <c r="G15" s="3" t="str">
        <f>IF(ATALI[[#This Row],[ID NOTA]]="","",INDEX([6]!NOTA[TGL_H],MATCH(ATALI[[#This Row],[ID NOTA]],[6]!NOTA[ID],0)))</f>
        <v/>
      </c>
      <c r="H15" s="3" t="str">
        <f>IF(ATALI[[#This Row],[ID NOTA]]="","",INDEX([6]!NOTA[TGL.NOTA],MATCH(ATALI[[#This Row],[ID NOTA]],[6]!NOTA[ID],0)))</f>
        <v/>
      </c>
      <c r="I15" s="4" t="str">
        <f>IF(ATALI[[#This Row],[ID NOTA]]="","",INDEX([6]!NOTA[NO.NOTA],MATCH(ATALI[[#This Row],[ID NOTA]],[6]!NOTA[ID],0)))</f>
        <v/>
      </c>
      <c r="J15" s="4" t="s">
        <v>260</v>
      </c>
      <c r="K15" s="6">
        <f ca="1">IF(ATALI[[#This Row],[//]]="","",IF(INDEX([6]!NOTA[C],ATALI[[#This Row],[//]]-2)="","",INDEX([6]!NOTA[C],ATALI[[#This Row],[//]]-2)))</f>
        <v>3</v>
      </c>
      <c r="L15" s="6">
        <f ca="1">IF(ATALI[[#This Row],[//]]="","",INDEX([6]!NOTA[QTY],ATALI[[#This Row],[//]]-2))</f>
        <v>216</v>
      </c>
      <c r="M15" s="6" t="str">
        <f ca="1">IF(ATALI[[#This Row],[//]]="","",INDEX([6]!NOTA[STN],ATALI[[#This Row],[//]]-2))</f>
        <v>SET</v>
      </c>
      <c r="N15" s="5">
        <f ca="1">IF(ATALI[[#This Row],[//]]="","",INDEX([6]!NOTA[HARGA SATUAN],ATALI[[#This Row],[//]]-2))</f>
        <v>19200</v>
      </c>
      <c r="O15" s="8">
        <f ca="1">IF(ATALI[[#This Row],[//]]="","",INDEX([6]!NOTA[DISC 1],ATALI[[#This Row],[//]]-2))</f>
        <v>0.125</v>
      </c>
      <c r="P15" s="8">
        <f ca="1">IF(ATALI[[#This Row],[//]]="","",INDEX([6]!NOTA[DISC 2],ATALI[[#This Row],[//]]-2))</f>
        <v>0.05</v>
      </c>
      <c r="Q15" s="5">
        <f ca="1">IF(ATALI[[#This Row],[//]]="","",INDEX([6]!NOTA[TOTAL],ATALI[[#This Row],[//]]-2))</f>
        <v>3447360</v>
      </c>
      <c r="R1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1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11778480</v>
      </c>
      <c r="T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4" t="str">
        <f ca="1">IF(ATALI[[#This Row],[//]]="","",INDEX([6]!NOTA[NAMA BARANG],ATALI[[#This Row],[//]]-2))</f>
        <v>COLOR PENCIL CP-101 (24C) JK</v>
      </c>
      <c r="V15" s="4" t="str">
        <f ca="1">LOWER(SUBSTITUTE(SUBSTITUTE(SUBSTITUTE(SUBSTITUTE(SUBSTITUTE(SUBSTITUTE(SUBSTITUTE(ATALI[[#This Row],[N.B.nota]]," ",""),"-",""),"(",""),")",""),".",""),",",""),"/",""))</f>
        <v>colorpencilcp10124cjk</v>
      </c>
      <c r="W15" s="4" t="s">
        <v>137</v>
      </c>
      <c r="X15" s="4" t="str">
        <f ca="1">IF(ATALI[[#This Row],[N.B.nota]]="","",ADDRESS(ROW(ATALI[QB]),COLUMN(ATALI[QB]))&amp;":"&amp;ADDRESS(ROW(),COLUMN(ATALI[QB])))</f>
        <v>$D$3:$D$15</v>
      </c>
      <c r="Y15" s="14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4"/>
      <c r="B16" s="6" t="str">
        <f>IF(ATALI[[#This Row],[N_ID]]="","",INDEX(Table1[ID],MATCH(ATALI[[#This Row],[N_ID]],Table1[N_ID],0)))</f>
        <v/>
      </c>
      <c r="C16" s="6" t="str">
        <f>IF(ATALI[[#This Row],[ID NOTA]]="","",HYPERLINK("[NOTA_.xlsx]NOTA!e"&amp;INDEX([6]!PAJAK[//],MATCH(ATALI[[#This Row],[ID NOTA]],[6]!PAJAK[ID],0)),"&gt;") )</f>
        <v/>
      </c>
      <c r="D16" s="6" t="str">
        <f>IF(ATALI[[#This Row],[ID NOTA]]="","",INDEX(Table1[QB],MATCH(ATALI[[#This Row],[ID NOTA]],Table1[ID],0)))</f>
        <v/>
      </c>
      <c r="E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" s="6"/>
      <c r="G16" s="3" t="str">
        <f>IF(ATALI[[#This Row],[ID NOTA]]="","",INDEX([6]!NOTA[TGL_H],MATCH(ATALI[[#This Row],[ID NOTA]],[6]!NOTA[ID],0)))</f>
        <v/>
      </c>
      <c r="H16" s="3" t="str">
        <f>IF(ATALI[[#This Row],[ID NOTA]]="","",INDEX([6]!NOTA[TGL.NOTA],MATCH(ATALI[[#This Row],[ID NOTA]],[6]!NOTA[ID],0)))</f>
        <v/>
      </c>
      <c r="I16" s="4" t="str">
        <f>IF(ATALI[[#This Row],[ID NOTA]]="","",INDEX([6]!NOTA[NO.NOTA],MATCH(ATALI[[#This Row],[ID NOTA]],[6]!NOTA[ID],0)))</f>
        <v/>
      </c>
      <c r="J16" s="4" t="s">
        <v>136</v>
      </c>
      <c r="K16" s="6" t="str">
        <f ca="1">IF(ATALI[[#This Row],[//]]="","",IF(INDEX([6]!NOTA[C],ATALI[[#This Row],[//]]-2)="","",INDEX([6]!NOTA[C],ATALI[[#This Row],[//]]-2)))</f>
        <v/>
      </c>
      <c r="L16" s="6" t="str">
        <f ca="1">IF(ATALI[[#This Row],[//]]="","",INDEX([6]!NOTA[QTY],ATALI[[#This Row],[//]]-2))</f>
        <v/>
      </c>
      <c r="M16" s="6" t="str">
        <f ca="1">IF(ATALI[[#This Row],[//]]="","",INDEX([6]!NOTA[STN],ATALI[[#This Row],[//]]-2))</f>
        <v/>
      </c>
      <c r="N16" s="5" t="str">
        <f ca="1">IF(ATALI[[#This Row],[//]]="","",INDEX([6]!NOTA[HARGA SATUAN],ATALI[[#This Row],[//]]-2))</f>
        <v/>
      </c>
      <c r="O16" s="8" t="str">
        <f ca="1">IF(ATALI[[#This Row],[//]]="","",INDEX([6]!NOTA[DISC 1],ATALI[[#This Row],[//]]-2))</f>
        <v/>
      </c>
      <c r="P16" s="8" t="str">
        <f ca="1">IF(ATALI[[#This Row],[//]]="","",INDEX([6]!NOTA[DISC 2],ATALI[[#This Row],[//]]-2))</f>
        <v/>
      </c>
      <c r="Q16" s="5" t="str">
        <f ca="1">IF(ATALI[[#This Row],[//]]="","",INDEX([6]!NOTA[TOTAL],ATALI[[#This Row],[//]]-2))</f>
        <v/>
      </c>
      <c r="R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4" t="str">
        <f ca="1">IF(ATALI[[#This Row],[//]]="","",INDEX([6]!NOTA[NAMA BARANG],ATALI[[#This Row],[//]]-2))</f>
        <v/>
      </c>
      <c r="V16" s="4" t="str">
        <f ca="1">LOWER(SUBSTITUTE(SUBSTITUTE(SUBSTITUTE(SUBSTITUTE(SUBSTITUTE(SUBSTITUTE(SUBSTITUTE(ATALI[[#This Row],[N.B.nota]]," ",""),"-",""),"(",""),")",""),".",""),",",""),"/",""))</f>
        <v/>
      </c>
      <c r="W16" s="4" t="s">
        <v>136</v>
      </c>
      <c r="X16" s="4" t="str">
        <f ca="1">IF(ATALI[[#This Row],[N.B.nota]]="","",ADDRESS(ROW(ATALI[QB]),COLUMN(ATALI[QB]))&amp;":"&amp;ADDRESS(ROW(),COLUMN(ATALI[QB])))</f>
        <v/>
      </c>
      <c r="Y16" s="14" t="str">
        <f ca="1">IF(ATALI[[#This Row],[//]]="","",HYPERLINK("[../DB.xlsx]DB!e"&amp;MATCH(ATALI[[#This Row],[concat]],[4]!db[NB NOTA_C],0)+1,"&gt;"))</f>
        <v/>
      </c>
    </row>
    <row r="17" spans="1:25" x14ac:dyDescent="0.25">
      <c r="A17" s="4" t="s">
        <v>57</v>
      </c>
      <c r="B17" s="6">
        <f ca="1">IF(ATALI[[#This Row],[N_ID]]="","",INDEX(Table1[ID],MATCH(ATALI[[#This Row],[N_ID]],Table1[N_ID],0)))</f>
        <v>74</v>
      </c>
      <c r="C17" s="6" t="str">
        <f ca="1">IF(ATALI[[#This Row],[ID NOTA]]="","",HYPERLINK("[NOTA_.xlsx]NOTA!e"&amp;INDEX([6]!PAJAK[//],MATCH(ATALI[[#This Row],[ID NOTA]],[6]!PAJAK[ID],0)),"&gt;") )</f>
        <v>&gt;</v>
      </c>
      <c r="D17" s="6">
        <f ca="1">IF(ATALI[[#This Row],[ID NOTA]]="","",INDEX(Table1[QB],MATCH(ATALI[[#This Row],[ID NOTA]],Table1[ID],0)))</f>
        <v>6</v>
      </c>
      <c r="E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364</v>
      </c>
      <c r="F17" s="6"/>
      <c r="G17" s="3">
        <f ca="1">IF(ATALI[[#This Row],[ID NOTA]]="","",INDEX([6]!NOTA[TGL_H],MATCH(ATALI[[#This Row],[ID NOTA]],[6]!NOTA[ID],0)))</f>
        <v>44756</v>
      </c>
      <c r="H17" s="3">
        <f ca="1">IF(ATALI[[#This Row],[ID NOTA]]="","",INDEX([6]!NOTA[TGL.NOTA],MATCH(ATALI[[#This Row],[ID NOTA]],[6]!NOTA[ID],0)))</f>
        <v>44747</v>
      </c>
      <c r="I17" s="4" t="str">
        <f ca="1">IF(ATALI[[#This Row],[ID NOTA]]="","",INDEX([6]!NOTA[NO.NOTA],MATCH(ATALI[[#This Row],[ID NOTA]],[6]!NOTA[ID],0)))</f>
        <v>SA220709393</v>
      </c>
      <c r="J17" s="4" t="s">
        <v>261</v>
      </c>
      <c r="K17" s="6">
        <f ca="1">IF(ATALI[[#This Row],[//]]="","",IF(INDEX([6]!NOTA[C],ATALI[[#This Row],[//]]-2)="","",INDEX([6]!NOTA[C],ATALI[[#This Row],[//]]-2)))</f>
        <v>1</v>
      </c>
      <c r="L17" s="6">
        <f ca="1">IF(ATALI[[#This Row],[//]]="","",INDEX([6]!NOTA[QTY],ATALI[[#This Row],[//]]-2))</f>
        <v>144</v>
      </c>
      <c r="M17" s="6" t="str">
        <f ca="1">IF(ATALI[[#This Row],[//]]="","",INDEX([6]!NOTA[STN],ATALI[[#This Row],[//]]-2))</f>
        <v>DZ</v>
      </c>
      <c r="N17" s="5">
        <f ca="1">IF(ATALI[[#This Row],[//]]="","",INDEX([6]!NOTA[HARGA SATUAN],ATALI[[#This Row],[//]]-2))</f>
        <v>20400</v>
      </c>
      <c r="O17" s="8">
        <f ca="1">IF(ATALI[[#This Row],[//]]="","",INDEX([6]!NOTA[DISC 1],ATALI[[#This Row],[//]]-2))</f>
        <v>0.125</v>
      </c>
      <c r="P17" s="8">
        <f ca="1">IF(ATALI[[#This Row],[//]]="","",INDEX([6]!NOTA[DISC 2],ATALI[[#This Row],[//]]-2))</f>
        <v>0.05</v>
      </c>
      <c r="Q17" s="5">
        <f ca="1">IF(ATALI[[#This Row],[//]]="","",INDEX([6]!NOTA[TOTAL],ATALI[[#This Row],[//]]-2))</f>
        <v>2441880</v>
      </c>
      <c r="R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4" t="str">
        <f ca="1">IF(ATALI[[#This Row],[//]]="","",INDEX([6]!NOTA[NAMA BARANG],ATALI[[#This Row],[//]]-2))</f>
        <v>KING JELLER JK-100 (BLACK) JK</v>
      </c>
      <c r="V17" s="4" t="str">
        <f ca="1">LOWER(SUBSTITUTE(SUBSTITUTE(SUBSTITUTE(SUBSTITUTE(SUBSTITUTE(SUBSTITUTE(SUBSTITUTE(ATALI[[#This Row],[N.B.nota]]," ",""),"-",""),"(",""),")",""),".",""),",",""),"/",""))</f>
        <v>kingjellerjk100blackjk</v>
      </c>
      <c r="W17" s="4" t="s">
        <v>137</v>
      </c>
      <c r="X17" s="4" t="str">
        <f ca="1">IF(ATALI[[#This Row],[N.B.nota]]="","",ADDRESS(ROW(ATALI[QB]),COLUMN(ATALI[QB]))&amp;":"&amp;ADDRESS(ROW(),COLUMN(ATALI[QB])))</f>
        <v>$D$3:$D$17</v>
      </c>
      <c r="Y17" s="14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6" t="str">
        <f>IF(ATALI[[#This Row],[N_ID]]="","",INDEX(Table1[ID],MATCH(ATALI[[#This Row],[N_ID]],Table1[N_ID],0)))</f>
        <v/>
      </c>
      <c r="C18" s="6" t="str">
        <f>IF(ATALI[[#This Row],[ID NOTA]]="","",HYPERLINK("[NOTA_.xlsx]NOTA!e"&amp;INDEX([6]!PAJAK[//],MATCH(ATALI[[#This Row],[ID NOTA]],[6]!PAJAK[ID],0)),"&gt;") )</f>
        <v/>
      </c>
      <c r="D18" s="6" t="str">
        <f>IF(ATALI[[#This Row],[ID NOTA]]="","",INDEX(Table1[QB],MATCH(ATALI[[#This Row],[ID NOTA]],Table1[ID],0)))</f>
        <v/>
      </c>
      <c r="E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365</v>
      </c>
      <c r="F18" s="6"/>
      <c r="G18" s="3" t="str">
        <f>IF(ATALI[[#This Row],[ID NOTA]]="","",INDEX([6]!NOTA[TGL_H],MATCH(ATALI[[#This Row],[ID NOTA]],[6]!NOTA[ID],0)))</f>
        <v/>
      </c>
      <c r="H18" s="3" t="str">
        <f>IF(ATALI[[#This Row],[ID NOTA]]="","",INDEX([6]!NOTA[TGL.NOTA],MATCH(ATALI[[#This Row],[ID NOTA]],[6]!NOTA[ID],0)))</f>
        <v/>
      </c>
      <c r="I18" s="4" t="str">
        <f>IF(ATALI[[#This Row],[ID NOTA]]="","",INDEX([6]!NOTA[NO.NOTA],MATCH(ATALI[[#This Row],[ID NOTA]],[6]!NOTA[ID],0)))</f>
        <v/>
      </c>
      <c r="J18" s="4" t="s">
        <v>262</v>
      </c>
      <c r="K18" s="6">
        <f ca="1">IF(ATALI[[#This Row],[//]]="","",IF(INDEX([6]!NOTA[C],ATALI[[#This Row],[//]]-2)="","",INDEX([6]!NOTA[C],ATALI[[#This Row],[//]]-2)))</f>
        <v>1</v>
      </c>
      <c r="L18" s="6">
        <f ca="1">IF(ATALI[[#This Row],[//]]="","",INDEX([6]!NOTA[QTY],ATALI[[#This Row],[//]]-2))</f>
        <v>144</v>
      </c>
      <c r="M18" s="6" t="str">
        <f ca="1">IF(ATALI[[#This Row],[//]]="","",INDEX([6]!NOTA[STN],ATALI[[#This Row],[//]]-2))</f>
        <v>DZ</v>
      </c>
      <c r="N18" s="5">
        <f ca="1">IF(ATALI[[#This Row],[//]]="","",INDEX([6]!NOTA[HARGA SATUAN],ATALI[[#This Row],[//]]-2))</f>
        <v>21600</v>
      </c>
      <c r="O18" s="8">
        <f ca="1">IF(ATALI[[#This Row],[//]]="","",INDEX([6]!NOTA[DISC 1],ATALI[[#This Row],[//]]-2))</f>
        <v>0.125</v>
      </c>
      <c r="P18" s="8">
        <f ca="1">IF(ATALI[[#This Row],[//]]="","",INDEX([6]!NOTA[DISC 2],ATALI[[#This Row],[//]]-2))</f>
        <v>0.05</v>
      </c>
      <c r="Q18" s="5">
        <f ca="1">IF(ATALI[[#This Row],[//]]="","",INDEX([6]!NOTA[TOTAL],ATALI[[#This Row],[//]]-2))</f>
        <v>2585520</v>
      </c>
      <c r="R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4" t="str">
        <f ca="1">IF(ATALI[[#This Row],[//]]="","",INDEX([6]!NOTA[NAMA BARANG],ATALI[[#This Row],[//]]-2))</f>
        <v>GEL PEN GP-212 I-DIAMOND (BLACK) JK</v>
      </c>
      <c r="V18" s="4" t="str">
        <f ca="1">LOWER(SUBSTITUTE(SUBSTITUTE(SUBSTITUTE(SUBSTITUTE(SUBSTITUTE(SUBSTITUTE(SUBSTITUTE(ATALI[[#This Row],[N.B.nota]]," ",""),"-",""),"(",""),")",""),".",""),",",""),"/",""))</f>
        <v>gelpengp212idiamondblackjk</v>
      </c>
      <c r="W18" s="4" t="s">
        <v>137</v>
      </c>
      <c r="X18" s="4" t="str">
        <f ca="1">IF(ATALI[[#This Row],[N.B.nota]]="","",ADDRESS(ROW(ATALI[QB]),COLUMN(ATALI[QB]))&amp;":"&amp;ADDRESS(ROW(),COLUMN(ATALI[QB])))</f>
        <v>$D$3:$D$18</v>
      </c>
      <c r="Y18" s="14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6" t="str">
        <f>IF(ATALI[[#This Row],[N_ID]]="","",INDEX(Table1[ID],MATCH(ATALI[[#This Row],[N_ID]],Table1[N_ID],0)))</f>
        <v/>
      </c>
      <c r="C19" s="6" t="str">
        <f>IF(ATALI[[#This Row],[ID NOTA]]="","",HYPERLINK("[NOTA_.xlsx]NOTA!e"&amp;INDEX([6]!PAJAK[//],MATCH(ATALI[[#This Row],[ID NOTA]],[6]!PAJAK[ID],0)),"&gt;") )</f>
        <v/>
      </c>
      <c r="D19" s="6" t="str">
        <f>IF(ATALI[[#This Row],[ID NOTA]]="","",INDEX(Table1[QB],MATCH(ATALI[[#This Row],[ID NOTA]],Table1[ID],0)))</f>
        <v/>
      </c>
      <c r="E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366</v>
      </c>
      <c r="F19" s="6"/>
      <c r="G19" s="3" t="str">
        <f>IF(ATALI[[#This Row],[ID NOTA]]="","",INDEX([6]!NOTA[TGL_H],MATCH(ATALI[[#This Row],[ID NOTA]],[6]!NOTA[ID],0)))</f>
        <v/>
      </c>
      <c r="H19" s="3" t="str">
        <f>IF(ATALI[[#This Row],[ID NOTA]]="","",INDEX([6]!NOTA[TGL.NOTA],MATCH(ATALI[[#This Row],[ID NOTA]],[6]!NOTA[ID],0)))</f>
        <v/>
      </c>
      <c r="I19" s="4" t="str">
        <f>IF(ATALI[[#This Row],[ID NOTA]]="","",INDEX([6]!NOTA[NO.NOTA],MATCH(ATALI[[#This Row],[ID NOTA]],[6]!NOTA[ID],0)))</f>
        <v/>
      </c>
      <c r="J19" s="4" t="s">
        <v>263</v>
      </c>
      <c r="K19" s="6">
        <f ca="1">IF(ATALI[[#This Row],[//]]="","",IF(INDEX([6]!NOTA[C],ATALI[[#This Row],[//]]-2)="","",INDEX([6]!NOTA[C],ATALI[[#This Row],[//]]-2)))</f>
        <v>1</v>
      </c>
      <c r="L19" s="6">
        <f ca="1">IF(ATALI[[#This Row],[//]]="","",INDEX([6]!NOTA[QTY],ATALI[[#This Row],[//]]-2))</f>
        <v>5</v>
      </c>
      <c r="M19" s="6" t="str">
        <f ca="1">IF(ATALI[[#This Row],[//]]="","",INDEX([6]!NOTA[STN],ATALI[[#This Row],[//]]-2))</f>
        <v>PCS</v>
      </c>
      <c r="N19" s="5">
        <f ca="1">IF(ATALI[[#This Row],[//]]="","",INDEX([6]!NOTA[HARGA SATUAN],ATALI[[#This Row],[//]]-2))</f>
        <v>214000</v>
      </c>
      <c r="O19" s="8">
        <f ca="1">IF(ATALI[[#This Row],[//]]="","",INDEX([6]!NOTA[DISC 1],ATALI[[#This Row],[//]]-2))</f>
        <v>0.125</v>
      </c>
      <c r="P19" s="8">
        <f ca="1">IF(ATALI[[#This Row],[//]]="","",INDEX([6]!NOTA[DISC 2],ATALI[[#This Row],[//]]-2))</f>
        <v>0.05</v>
      </c>
      <c r="Q19" s="5">
        <f ca="1">IF(ATALI[[#This Row],[//]]="","",INDEX([6]!NOTA[TOTAL],ATALI[[#This Row],[//]]-2))</f>
        <v>889437.5</v>
      </c>
      <c r="R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4" t="str">
        <f ca="1">IF(ATALI[[#This Row],[//]]="","",INDEX([6]!NOTA[NAMA BARANG],ATALI[[#This Row],[//]]-2))</f>
        <v>PAPER CUTTER PC-2638 (F4) JK</v>
      </c>
      <c r="V19" s="4" t="str">
        <f ca="1">LOWER(SUBSTITUTE(SUBSTITUTE(SUBSTITUTE(SUBSTITUTE(SUBSTITUTE(SUBSTITUTE(SUBSTITUTE(ATALI[[#This Row],[N.B.nota]]," ",""),"-",""),"(",""),")",""),".",""),",",""),"/",""))</f>
        <v>papercutterpc2638f4jk</v>
      </c>
      <c r="W19" s="4" t="s">
        <v>137</v>
      </c>
      <c r="X19" s="4" t="str">
        <f ca="1">IF(ATALI[[#This Row],[N.B.nota]]="","",ADDRESS(ROW(ATALI[QB]),COLUMN(ATALI[QB]))&amp;":"&amp;ADDRESS(ROW(),COLUMN(ATALI[QB])))</f>
        <v>$D$3:$D$19</v>
      </c>
      <c r="Y19" s="14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6" t="str">
        <f>IF(ATALI[[#This Row],[N_ID]]="","",INDEX(Table1[ID],MATCH(ATALI[[#This Row],[N_ID]],Table1[N_ID],0)))</f>
        <v/>
      </c>
      <c r="C20" s="6" t="str">
        <f>IF(ATALI[[#This Row],[ID NOTA]]="","",HYPERLINK("[NOTA_.xlsx]NOTA!e"&amp;INDEX([6]!PAJAK[//],MATCH(ATALI[[#This Row],[ID NOTA]],[6]!PAJAK[ID],0)),"&gt;") )</f>
        <v/>
      </c>
      <c r="D20" s="6" t="str">
        <f>IF(ATALI[[#This Row],[ID NOTA]]="","",INDEX(Table1[QB],MATCH(ATALI[[#This Row],[ID NOTA]],Table1[ID],0)))</f>
        <v/>
      </c>
      <c r="E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367</v>
      </c>
      <c r="F20" s="6"/>
      <c r="G20" s="3" t="str">
        <f>IF(ATALI[[#This Row],[ID NOTA]]="","",INDEX([6]!NOTA[TGL_H],MATCH(ATALI[[#This Row],[ID NOTA]],[6]!NOTA[ID],0)))</f>
        <v/>
      </c>
      <c r="H20" s="3" t="str">
        <f>IF(ATALI[[#This Row],[ID NOTA]]="","",INDEX([6]!NOTA[TGL.NOTA],MATCH(ATALI[[#This Row],[ID NOTA]],[6]!NOTA[ID],0)))</f>
        <v/>
      </c>
      <c r="I20" s="4" t="str">
        <f>IF(ATALI[[#This Row],[ID NOTA]]="","",INDEX([6]!NOTA[NO.NOTA],MATCH(ATALI[[#This Row],[ID NOTA]],[6]!NOTA[ID],0)))</f>
        <v/>
      </c>
      <c r="J20" s="4" t="s">
        <v>257</v>
      </c>
      <c r="K20" s="6">
        <f ca="1">IF(ATALI[[#This Row],[//]]="","",IF(INDEX([6]!NOTA[C],ATALI[[#This Row],[//]]-2)="","",INDEX([6]!NOTA[C],ATALI[[#This Row],[//]]-2)))</f>
        <v>4</v>
      </c>
      <c r="L20" s="6">
        <f ca="1">IF(ATALI[[#This Row],[//]]="","",INDEX([6]!NOTA[QTY],ATALI[[#This Row],[//]]-2))</f>
        <v>576</v>
      </c>
      <c r="M20" s="6" t="str">
        <f ca="1">IF(ATALI[[#This Row],[//]]="","",INDEX([6]!NOTA[STN],ATALI[[#This Row],[//]]-2))</f>
        <v>PCS</v>
      </c>
      <c r="N20" s="5">
        <f ca="1">IF(ATALI[[#This Row],[//]]="","",INDEX([6]!NOTA[HARGA SATUAN],ATALI[[#This Row],[//]]-2))</f>
        <v>6300</v>
      </c>
      <c r="O20" s="8">
        <f ca="1">IF(ATALI[[#This Row],[//]]="","",INDEX([6]!NOTA[DISC 1],ATALI[[#This Row],[//]]-2))</f>
        <v>0.125</v>
      </c>
      <c r="P20" s="8">
        <f ca="1">IF(ATALI[[#This Row],[//]]="","",INDEX([6]!NOTA[DISC 2],ATALI[[#This Row],[//]]-2))</f>
        <v>0.05</v>
      </c>
      <c r="Q20" s="5">
        <f ca="1">IF(ATALI[[#This Row],[//]]="","",INDEX([6]!NOTA[TOTAL],ATALI[[#This Row],[//]]-2))</f>
        <v>3016440</v>
      </c>
      <c r="R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4" t="str">
        <f ca="1">IF(ATALI[[#This Row],[//]]="","",INDEX([6]!NOTA[NAMA BARANG],ATALI[[#This Row],[//]]-2))</f>
        <v>SCISSOR SC-838 JK</v>
      </c>
      <c r="V20" s="4" t="str">
        <f ca="1">LOWER(SUBSTITUTE(SUBSTITUTE(SUBSTITUTE(SUBSTITUTE(SUBSTITUTE(SUBSTITUTE(SUBSTITUTE(ATALI[[#This Row],[N.B.nota]]," ",""),"-",""),"(",""),")",""),".",""),",",""),"/",""))</f>
        <v>scissorsc838jk</v>
      </c>
      <c r="W20" s="4" t="s">
        <v>137</v>
      </c>
      <c r="X20" s="4" t="str">
        <f ca="1">IF(ATALI[[#This Row],[N.B.nota]]="","",ADDRESS(ROW(ATALI[QB]),COLUMN(ATALI[QB]))&amp;":"&amp;ADDRESS(ROW(),COLUMN(ATALI[QB])))</f>
        <v>$D$3:$D$20</v>
      </c>
      <c r="Y20" s="14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4"/>
      <c r="B21" s="6" t="str">
        <f>IF(ATALI[[#This Row],[N_ID]]="","",INDEX(Table1[ID],MATCH(ATALI[[#This Row],[N_ID]],Table1[N_ID],0)))</f>
        <v/>
      </c>
      <c r="C21" s="6" t="str">
        <f>IF(ATALI[[#This Row],[ID NOTA]]="","",HYPERLINK("[NOTA_.xlsx]NOTA!e"&amp;INDEX([6]!PAJAK[//],MATCH(ATALI[[#This Row],[ID NOTA]],[6]!PAJAK[ID],0)),"&gt;") )</f>
        <v/>
      </c>
      <c r="D21" s="6" t="str">
        <f>IF(ATALI[[#This Row],[ID NOTA]]="","",INDEX(Table1[QB],MATCH(ATALI[[#This Row],[ID NOTA]],Table1[ID],0)))</f>
        <v/>
      </c>
      <c r="E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368</v>
      </c>
      <c r="F21" s="6"/>
      <c r="G21" s="3" t="str">
        <f>IF(ATALI[[#This Row],[ID NOTA]]="","",INDEX([6]!NOTA[TGL_H],MATCH(ATALI[[#This Row],[ID NOTA]],[6]!NOTA[ID],0)))</f>
        <v/>
      </c>
      <c r="H21" s="3" t="str">
        <f>IF(ATALI[[#This Row],[ID NOTA]]="","",INDEX([6]!NOTA[TGL.NOTA],MATCH(ATALI[[#This Row],[ID NOTA]],[6]!NOTA[ID],0)))</f>
        <v/>
      </c>
      <c r="I21" s="4" t="str">
        <f>IF(ATALI[[#This Row],[ID NOTA]]="","",INDEX([6]!NOTA[NO.NOTA],MATCH(ATALI[[#This Row],[ID NOTA]],[6]!NOTA[ID],0)))</f>
        <v/>
      </c>
      <c r="J21" s="4" t="s">
        <v>259</v>
      </c>
      <c r="K21" s="6">
        <f ca="1">IF(ATALI[[#This Row],[//]]="","",IF(INDEX([6]!NOTA[C],ATALI[[#This Row],[//]]-2)="","",INDEX([6]!NOTA[C],ATALI[[#This Row],[//]]-2)))</f>
        <v>4</v>
      </c>
      <c r="L21" s="6">
        <f ca="1">IF(ATALI[[#This Row],[//]]="","",INDEX([6]!NOTA[QTY],ATALI[[#This Row],[//]]-2))</f>
        <v>576</v>
      </c>
      <c r="M21" s="6" t="str">
        <f ca="1">IF(ATALI[[#This Row],[//]]="","",INDEX([6]!NOTA[STN],ATALI[[#This Row],[//]]-2))</f>
        <v>SET</v>
      </c>
      <c r="N21" s="5">
        <f ca="1">IF(ATALI[[#This Row],[//]]="","",INDEX([6]!NOTA[HARGA SATUAN],ATALI[[#This Row],[//]]-2))</f>
        <v>11600</v>
      </c>
      <c r="O21" s="8">
        <f ca="1">IF(ATALI[[#This Row],[//]]="","",INDEX([6]!NOTA[DISC 1],ATALI[[#This Row],[//]]-2))</f>
        <v>0.125</v>
      </c>
      <c r="P21" s="8">
        <f ca="1">IF(ATALI[[#This Row],[//]]="","",INDEX([6]!NOTA[DISC 2],ATALI[[#This Row],[//]]-2))</f>
        <v>0.05</v>
      </c>
      <c r="Q21" s="5">
        <f ca="1">IF(ATALI[[#This Row],[//]]="","",INDEX([6]!NOTA[TOTAL],ATALI[[#This Row],[//]]-2))</f>
        <v>5554080</v>
      </c>
      <c r="R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4" t="str">
        <f ca="1">IF(ATALI[[#This Row],[//]]="","",INDEX([6]!NOTA[NAMA BARANG],ATALI[[#This Row],[//]]-2))</f>
        <v>OIL PASTEL OP-12CHC COMPACT JK</v>
      </c>
      <c r="V21" s="4" t="str">
        <f ca="1">LOWER(SUBSTITUTE(SUBSTITUTE(SUBSTITUTE(SUBSTITUTE(SUBSTITUTE(SUBSTITUTE(SUBSTITUTE(ATALI[[#This Row],[N.B.nota]]," ",""),"-",""),"(",""),")",""),".",""),",",""),"/",""))</f>
        <v>oilpastelop12chccompactjk</v>
      </c>
      <c r="W21" s="4" t="s">
        <v>137</v>
      </c>
      <c r="X21" s="4" t="str">
        <f ca="1">IF(ATALI[[#This Row],[N.B.nota]]="","",ADDRESS(ROW(ATALI[QB]),COLUMN(ATALI[QB]))&amp;":"&amp;ADDRESS(ROW(),COLUMN(ATALI[QB])))</f>
        <v>$D$3:$D$21</v>
      </c>
      <c r="Y21" s="14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6" t="str">
        <f>IF(ATALI[[#This Row],[N_ID]]="","",INDEX(Table1[ID],MATCH(ATALI[[#This Row],[N_ID]],Table1[N_ID],0)))</f>
        <v/>
      </c>
      <c r="C22" s="6" t="str">
        <f>IF(ATALI[[#This Row],[ID NOTA]]="","",HYPERLINK("[NOTA_.xlsx]NOTA!e"&amp;INDEX([6]!PAJAK[//],MATCH(ATALI[[#This Row],[ID NOTA]],[6]!PAJAK[ID],0)),"&gt;") )</f>
        <v/>
      </c>
      <c r="D22" s="6" t="str">
        <f>IF(ATALI[[#This Row],[ID NOTA]]="","",INDEX(Table1[QB],MATCH(ATALI[[#This Row],[ID NOTA]],Table1[ID],0)))</f>
        <v/>
      </c>
      <c r="E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369</v>
      </c>
      <c r="F22" s="6"/>
      <c r="G22" s="3" t="str">
        <f>IF(ATALI[[#This Row],[ID NOTA]]="","",INDEX([6]!NOTA[TGL_H],MATCH(ATALI[[#This Row],[ID NOTA]],[6]!NOTA[ID],0)))</f>
        <v/>
      </c>
      <c r="H22" s="3" t="str">
        <f>IF(ATALI[[#This Row],[ID NOTA]]="","",INDEX([6]!NOTA[TGL.NOTA],MATCH(ATALI[[#This Row],[ID NOTA]],[6]!NOTA[ID],0)))</f>
        <v/>
      </c>
      <c r="I22" s="4" t="str">
        <f>IF(ATALI[[#This Row],[ID NOTA]]="","",INDEX([6]!NOTA[NO.NOTA],MATCH(ATALI[[#This Row],[ID NOTA]],[6]!NOTA[ID],0)))</f>
        <v/>
      </c>
      <c r="J22" s="4" t="s">
        <v>255</v>
      </c>
      <c r="K22" s="6" t="str">
        <f ca="1">IF(ATALI[[#This Row],[//]]="","",IF(INDEX([6]!NOTA[C],ATALI[[#This Row],[//]]-2)="","",INDEX([6]!NOTA[C],ATALI[[#This Row],[//]]-2)))</f>
        <v/>
      </c>
      <c r="L22" s="6">
        <f ca="1">IF(ATALI[[#This Row],[//]]="","",INDEX([6]!NOTA[QTY],ATALI[[#This Row],[//]]-2))</f>
        <v>24</v>
      </c>
      <c r="M22" s="6" t="str">
        <f ca="1">IF(ATALI[[#This Row],[//]]="","",INDEX([6]!NOTA[STN],ATALI[[#This Row],[//]]-2))</f>
        <v>DZ</v>
      </c>
      <c r="N22" s="5">
        <f ca="1">IF(ATALI[[#This Row],[//]]="","",INDEX([6]!NOTA[HARGA SATUAN],ATALI[[#This Row],[//]]-2))</f>
        <v>12600</v>
      </c>
      <c r="O22" s="8">
        <f ca="1">IF(ATALI[[#This Row],[//]]="","",INDEX([6]!NOTA[DISC 1],ATALI[[#This Row],[//]]-2))</f>
        <v>0.1</v>
      </c>
      <c r="P22" s="8">
        <f ca="1">IF(ATALI[[#This Row],[//]]="","",INDEX([6]!NOTA[DISC 2],ATALI[[#This Row],[//]]-2))</f>
        <v>0.05</v>
      </c>
      <c r="Q22" s="5">
        <f ca="1">IF(ATALI[[#This Row],[//]]="","",INDEX([6]!NOTA[TOTAL],ATALI[[#This Row],[//]]-2))</f>
        <v>258552</v>
      </c>
      <c r="R2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258552</v>
      </c>
      <c r="S2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14487357.5</v>
      </c>
      <c r="T22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2" s="4" t="str">
        <f ca="1">IF(ATALI[[#This Row],[//]]="","",INDEX([6]!NOTA[NAMA BARANG],ATALI[[#This Row],[//]]-2))</f>
        <v>BALLPEN BP-338 VOCUS (BLACK) JK</v>
      </c>
      <c r="V22" s="4" t="str">
        <f ca="1">LOWER(SUBSTITUTE(SUBSTITUTE(SUBSTITUTE(SUBSTITUTE(SUBSTITUTE(SUBSTITUTE(SUBSTITUTE(ATALI[[#This Row],[N.B.nota]]," ",""),"-",""),"(",""),")",""),".",""),",",""),"/",""))</f>
        <v>ballpenbp338vocusblackjk</v>
      </c>
      <c r="W22" s="4" t="s">
        <v>137</v>
      </c>
      <c r="X22" s="4" t="str">
        <f ca="1">IF(ATALI[[#This Row],[N.B.nota]]="","",ADDRESS(ROW(ATALI[QB]),COLUMN(ATALI[QB]))&amp;":"&amp;ADDRESS(ROW(),COLUMN(ATALI[QB])))</f>
        <v>$D$3:$D$22</v>
      </c>
      <c r="Y22" s="14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4"/>
      <c r="B23" s="6" t="str">
        <f>IF(ATALI[[#This Row],[N_ID]]="","",INDEX(Table1[ID],MATCH(ATALI[[#This Row],[N_ID]],Table1[N_ID],0)))</f>
        <v/>
      </c>
      <c r="C23" s="6" t="str">
        <f>IF(ATALI[[#This Row],[ID NOTA]]="","",HYPERLINK("[NOTA_.xlsx]NOTA!e"&amp;INDEX([6]!PAJAK[//],MATCH(ATALI[[#This Row],[ID NOTA]],[6]!PAJAK[ID],0)),"&gt;") )</f>
        <v/>
      </c>
      <c r="D23" s="6" t="str">
        <f>IF(ATALI[[#This Row],[ID NOTA]]="","",INDEX(Table1[QB],MATCH(ATALI[[#This Row],[ID NOTA]],Table1[ID],0)))</f>
        <v/>
      </c>
      <c r="E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" s="6"/>
      <c r="G23" s="3" t="str">
        <f>IF(ATALI[[#This Row],[ID NOTA]]="","",INDEX([6]!NOTA[TGL_H],MATCH(ATALI[[#This Row],[ID NOTA]],[6]!NOTA[ID],0)))</f>
        <v/>
      </c>
      <c r="H23" s="3" t="str">
        <f>IF(ATALI[[#This Row],[ID NOTA]]="","",INDEX([6]!NOTA[TGL.NOTA],MATCH(ATALI[[#This Row],[ID NOTA]],[6]!NOTA[ID],0)))</f>
        <v/>
      </c>
      <c r="I23" s="4" t="str">
        <f>IF(ATALI[[#This Row],[ID NOTA]]="","",INDEX([6]!NOTA[NO.NOTA],MATCH(ATALI[[#This Row],[ID NOTA]],[6]!NOTA[ID],0)))</f>
        <v/>
      </c>
      <c r="J23" s="4" t="s">
        <v>136</v>
      </c>
      <c r="K23" s="6" t="str">
        <f ca="1">IF(ATALI[[#This Row],[//]]="","",IF(INDEX([6]!NOTA[C],ATALI[[#This Row],[//]]-2)="","",INDEX([6]!NOTA[C],ATALI[[#This Row],[//]]-2)))</f>
        <v/>
      </c>
      <c r="L23" s="6" t="str">
        <f ca="1">IF(ATALI[[#This Row],[//]]="","",INDEX([6]!NOTA[QTY],ATALI[[#This Row],[//]]-2))</f>
        <v/>
      </c>
      <c r="M23" s="6" t="str">
        <f ca="1">IF(ATALI[[#This Row],[//]]="","",INDEX([6]!NOTA[STN],ATALI[[#This Row],[//]]-2))</f>
        <v/>
      </c>
      <c r="N23" s="5" t="str">
        <f ca="1">IF(ATALI[[#This Row],[//]]="","",INDEX([6]!NOTA[HARGA SATUAN],ATALI[[#This Row],[//]]-2))</f>
        <v/>
      </c>
      <c r="O23" s="8" t="str">
        <f ca="1">IF(ATALI[[#This Row],[//]]="","",INDEX([6]!NOTA[DISC 1],ATALI[[#This Row],[//]]-2))</f>
        <v/>
      </c>
      <c r="P23" s="8" t="str">
        <f ca="1">IF(ATALI[[#This Row],[//]]="","",INDEX([6]!NOTA[DISC 2],ATALI[[#This Row],[//]]-2))</f>
        <v/>
      </c>
      <c r="Q23" s="5" t="str">
        <f ca="1">IF(ATALI[[#This Row],[//]]="","",INDEX([6]!NOTA[TOTAL],ATALI[[#This Row],[//]]-2))</f>
        <v/>
      </c>
      <c r="R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4" t="str">
        <f ca="1">IF(ATALI[[#This Row],[//]]="","",INDEX([6]!NOTA[NAMA BARANG],ATALI[[#This Row],[//]]-2))</f>
        <v/>
      </c>
      <c r="V23" s="4" t="str">
        <f ca="1">LOWER(SUBSTITUTE(SUBSTITUTE(SUBSTITUTE(SUBSTITUTE(SUBSTITUTE(SUBSTITUTE(SUBSTITUTE(ATALI[[#This Row],[N.B.nota]]," ",""),"-",""),"(",""),")",""),".",""),",",""),"/",""))</f>
        <v/>
      </c>
      <c r="W23" s="4" t="s">
        <v>136</v>
      </c>
      <c r="X23" s="4" t="str">
        <f ca="1">IF(ATALI[[#This Row],[N.B.nota]]="","",ADDRESS(ROW(ATALI[QB]),COLUMN(ATALI[QB]))&amp;":"&amp;ADDRESS(ROW(),COLUMN(ATALI[QB])))</f>
        <v/>
      </c>
      <c r="Y23" s="14" t="str">
        <f ca="1">IF(ATALI[[#This Row],[//]]="","",HYPERLINK("[../DB.xlsx]DB!e"&amp;MATCH(ATALI[[#This Row],[concat]],[4]!db[NB NOTA_C],0)+1,"&gt;"))</f>
        <v/>
      </c>
    </row>
    <row r="24" spans="1:25" x14ac:dyDescent="0.25">
      <c r="A24" s="4" t="s">
        <v>58</v>
      </c>
      <c r="B24" s="6">
        <f ca="1">IF(ATALI[[#This Row],[N_ID]]="","",INDEX(Table1[ID],MATCH(ATALI[[#This Row],[N_ID]],Table1[N_ID],0)))</f>
        <v>47</v>
      </c>
      <c r="C24" s="6" t="str">
        <f ca="1">IF(ATALI[[#This Row],[ID NOTA]]="","",HYPERLINK("[NOTA_.xlsx]NOTA!e"&amp;INDEX([6]!PAJAK[//],MATCH(ATALI[[#This Row],[ID NOTA]],[6]!PAJAK[ID],0)),"&gt;") )</f>
        <v>&gt;</v>
      </c>
      <c r="D24" s="6">
        <f ca="1">IF(ATALI[[#This Row],[ID NOTA]]="","",INDEX(Table1[QB],MATCH(ATALI[[#This Row],[ID NOTA]],Table1[ID],0)))</f>
        <v>4</v>
      </c>
      <c r="E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238</v>
      </c>
      <c r="F24" s="6"/>
      <c r="G24" s="3">
        <f ca="1">IF(ATALI[[#This Row],[ID NOTA]]="","",INDEX([6]!NOTA[TGL_H],MATCH(ATALI[[#This Row],[ID NOTA]],[6]!NOTA[ID],0)))</f>
        <v>44753</v>
      </c>
      <c r="H24" s="3">
        <f ca="1">IF(ATALI[[#This Row],[ID NOTA]]="","",INDEX([6]!NOTA[TGL.NOTA],MATCH(ATALI[[#This Row],[ID NOTA]],[6]!NOTA[ID],0)))</f>
        <v>44748</v>
      </c>
      <c r="I24" s="4" t="str">
        <f ca="1">IF(ATALI[[#This Row],[ID NOTA]]="","",INDEX([6]!NOTA[NO.NOTA],MATCH(ATALI[[#This Row],[ID NOTA]],[6]!NOTA[ID],0)))</f>
        <v>SA220709474</v>
      </c>
      <c r="J24" s="4" t="s">
        <v>264</v>
      </c>
      <c r="K24" s="6">
        <f ca="1">IF(ATALI[[#This Row],[//]]="","",IF(INDEX([6]!NOTA[C],ATALI[[#This Row],[//]]-2)="","",INDEX([6]!NOTA[C],ATALI[[#This Row],[//]]-2)))</f>
        <v>1</v>
      </c>
      <c r="L24" s="6">
        <f ca="1">IF(ATALI[[#This Row],[//]]="","",INDEX([6]!NOTA[QTY],ATALI[[#This Row],[//]]-2))</f>
        <v>288</v>
      </c>
      <c r="M24" s="6" t="str">
        <f ca="1">IF(ATALI[[#This Row],[//]]="","",INDEX([6]!NOTA[STN],ATALI[[#This Row],[//]]-2))</f>
        <v>PCS</v>
      </c>
      <c r="N24" s="5">
        <f ca="1">IF(ATALI[[#This Row],[//]]="","",INDEX([6]!NOTA[HARGA SATUAN],ATALI[[#This Row],[//]]-2))</f>
        <v>10600</v>
      </c>
      <c r="O24" s="8">
        <f ca="1">IF(ATALI[[#This Row],[//]]="","",INDEX([6]!NOTA[DISC 1],ATALI[[#This Row],[//]]-2))</f>
        <v>0.125</v>
      </c>
      <c r="P24" s="8">
        <f ca="1">IF(ATALI[[#This Row],[//]]="","",INDEX([6]!NOTA[DISC 2],ATALI[[#This Row],[//]]-2))</f>
        <v>0.05</v>
      </c>
      <c r="Q24" s="5">
        <f ca="1">IF(ATALI[[#This Row],[//]]="","",INDEX([6]!NOTA[TOTAL],ATALI[[#This Row],[//]]-2))</f>
        <v>2537640</v>
      </c>
      <c r="R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4" t="str">
        <f ca="1">IF(ATALI[[#This Row],[//]]="","",INDEX([6]!NOTA[NAMA BARANG],ATALI[[#This Row],[//]]-2))</f>
        <v>CUTTER L-500-CU JK</v>
      </c>
      <c r="V24" s="4" t="str">
        <f ca="1">LOWER(SUBSTITUTE(SUBSTITUTE(SUBSTITUTE(SUBSTITUTE(SUBSTITUTE(SUBSTITUTE(SUBSTITUTE(ATALI[[#This Row],[N.B.nota]]," ",""),"-",""),"(",""),")",""),".",""),",",""),"/",""))</f>
        <v>cutterl500cujk</v>
      </c>
      <c r="W24" s="4" t="s">
        <v>137</v>
      </c>
      <c r="X24" s="4" t="str">
        <f ca="1">IF(ATALI[[#This Row],[N.B.nota]]="","",ADDRESS(ROW(ATALI[QB]),COLUMN(ATALI[QB]))&amp;":"&amp;ADDRESS(ROW(),COLUMN(ATALI[QB])))</f>
        <v>$D$3:$D$24</v>
      </c>
      <c r="Y24" s="14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6" t="str">
        <f>IF(ATALI[[#This Row],[N_ID]]="","",INDEX(Table1[ID],MATCH(ATALI[[#This Row],[N_ID]],Table1[N_ID],0)))</f>
        <v/>
      </c>
      <c r="C25" s="6" t="str">
        <f>IF(ATALI[[#This Row],[ID NOTA]]="","",HYPERLINK("[NOTA_.xlsx]NOTA!e"&amp;INDEX([6]!PAJAK[//],MATCH(ATALI[[#This Row],[ID NOTA]],[6]!PAJAK[ID],0)),"&gt;") )</f>
        <v/>
      </c>
      <c r="D25" s="6" t="str">
        <f>IF(ATALI[[#This Row],[ID NOTA]]="","",INDEX(Table1[QB],MATCH(ATALI[[#This Row],[ID NOTA]],Table1[ID],0)))</f>
        <v/>
      </c>
      <c r="E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239</v>
      </c>
      <c r="F25" s="6"/>
      <c r="G25" s="3" t="str">
        <f>IF(ATALI[[#This Row],[ID NOTA]]="","",INDEX([6]!NOTA[TGL_H],MATCH(ATALI[[#This Row],[ID NOTA]],[6]!NOTA[ID],0)))</f>
        <v/>
      </c>
      <c r="H25" s="3" t="str">
        <f>IF(ATALI[[#This Row],[ID NOTA]]="","",INDEX([6]!NOTA[TGL.NOTA],MATCH(ATALI[[#This Row],[ID NOTA]],[6]!NOTA[ID],0)))</f>
        <v/>
      </c>
      <c r="I25" s="4" t="str">
        <f>IF(ATALI[[#This Row],[ID NOTA]]="","",INDEX([6]!NOTA[NO.NOTA],MATCH(ATALI[[#This Row],[ID NOTA]],[6]!NOTA[ID],0)))</f>
        <v/>
      </c>
      <c r="J25" s="4" t="s">
        <v>265</v>
      </c>
      <c r="K25" s="6">
        <f ca="1">IF(ATALI[[#This Row],[//]]="","",IF(INDEX([6]!NOTA[C],ATALI[[#This Row],[//]]-2)="","",INDEX([6]!NOTA[C],ATALI[[#This Row],[//]]-2)))</f>
        <v>2</v>
      </c>
      <c r="L25" s="6">
        <f ca="1">IF(ATALI[[#This Row],[//]]="","",INDEX([6]!NOTA[QTY],ATALI[[#This Row],[//]]-2))</f>
        <v>1536</v>
      </c>
      <c r="M25" s="6" t="str">
        <f ca="1">IF(ATALI[[#This Row],[//]]="","",INDEX([6]!NOTA[STN],ATALI[[#This Row],[//]]-2))</f>
        <v>PCS</v>
      </c>
      <c r="N25" s="5">
        <f ca="1">IF(ATALI[[#This Row],[//]]="","",INDEX([6]!NOTA[HARGA SATUAN],ATALI[[#This Row],[//]]-2))</f>
        <v>2200</v>
      </c>
      <c r="O25" s="8">
        <f ca="1">IF(ATALI[[#This Row],[//]]="","",INDEX([6]!NOTA[DISC 1],ATALI[[#This Row],[//]]-2))</f>
        <v>0.125</v>
      </c>
      <c r="P25" s="8">
        <f ca="1">IF(ATALI[[#This Row],[//]]="","",INDEX([6]!NOTA[DISC 2],ATALI[[#This Row],[//]]-2))</f>
        <v>0.05</v>
      </c>
      <c r="Q25" s="5">
        <f ca="1">IF(ATALI[[#This Row],[//]]="","",INDEX([6]!NOTA[TOTAL],ATALI[[#This Row],[//]]-2))</f>
        <v>2808960</v>
      </c>
      <c r="R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4" t="str">
        <f ca="1">IF(ATALI[[#This Row],[//]]="","",INDEX([6]!NOTA[NAMA BARANG],ATALI[[#This Row],[//]]-2))</f>
        <v>GLUE STICK GS-09, 8 GRAM JK</v>
      </c>
      <c r="V25" s="4" t="str">
        <f ca="1">LOWER(SUBSTITUTE(SUBSTITUTE(SUBSTITUTE(SUBSTITUTE(SUBSTITUTE(SUBSTITUTE(SUBSTITUTE(ATALI[[#This Row],[N.B.nota]]," ",""),"-",""),"(",""),")",""),".",""),",",""),"/",""))</f>
        <v>gluestickgs098gramjk</v>
      </c>
      <c r="W25" s="4" t="s">
        <v>137</v>
      </c>
      <c r="X25" s="4" t="str">
        <f ca="1">IF(ATALI[[#This Row],[N.B.nota]]="","",ADDRESS(ROW(ATALI[QB]),COLUMN(ATALI[QB]))&amp;":"&amp;ADDRESS(ROW(),COLUMN(ATALI[QB])))</f>
        <v>$D$3:$D$25</v>
      </c>
      <c r="Y25" s="14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4"/>
      <c r="B26" s="6" t="str">
        <f>IF(ATALI[[#This Row],[N_ID]]="","",INDEX(Table1[ID],MATCH(ATALI[[#This Row],[N_ID]],Table1[N_ID],0)))</f>
        <v/>
      </c>
      <c r="C26" s="6" t="str">
        <f>IF(ATALI[[#This Row],[ID NOTA]]="","",HYPERLINK("[NOTA_.xlsx]NOTA!e"&amp;INDEX([6]!PAJAK[//],MATCH(ATALI[[#This Row],[ID NOTA]],[6]!PAJAK[ID],0)),"&gt;") )</f>
        <v/>
      </c>
      <c r="D26" s="6" t="str">
        <f>IF(ATALI[[#This Row],[ID NOTA]]="","",INDEX(Table1[QB],MATCH(ATALI[[#This Row],[ID NOTA]],Table1[ID],0)))</f>
        <v/>
      </c>
      <c r="E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240</v>
      </c>
      <c r="F26" s="6"/>
      <c r="G26" s="3" t="str">
        <f>IF(ATALI[[#This Row],[ID NOTA]]="","",INDEX([6]!NOTA[TGL_H],MATCH(ATALI[[#This Row],[ID NOTA]],[6]!NOTA[ID],0)))</f>
        <v/>
      </c>
      <c r="H26" s="3" t="str">
        <f>IF(ATALI[[#This Row],[ID NOTA]]="","",INDEX([6]!NOTA[TGL.NOTA],MATCH(ATALI[[#This Row],[ID NOTA]],[6]!NOTA[ID],0)))</f>
        <v/>
      </c>
      <c r="I26" s="4" t="str">
        <f>IF(ATALI[[#This Row],[ID NOTA]]="","",INDEX([6]!NOTA[NO.NOTA],MATCH(ATALI[[#This Row],[ID NOTA]],[6]!NOTA[ID],0)))</f>
        <v/>
      </c>
      <c r="J26" s="4" t="s">
        <v>266</v>
      </c>
      <c r="K26" s="6">
        <f ca="1">IF(ATALI[[#This Row],[//]]="","",IF(INDEX([6]!NOTA[C],ATALI[[#This Row],[//]]-2)="","",INDEX([6]!NOTA[C],ATALI[[#This Row],[//]]-2)))</f>
        <v>1</v>
      </c>
      <c r="L26" s="6">
        <f ca="1">IF(ATALI[[#This Row],[//]]="","",INDEX([6]!NOTA[QTY],ATALI[[#This Row],[//]]-2))</f>
        <v>96</v>
      </c>
      <c r="M26" s="6" t="str">
        <f ca="1">IF(ATALI[[#This Row],[//]]="","",INDEX([6]!NOTA[STN],ATALI[[#This Row],[//]]-2))</f>
        <v>SET</v>
      </c>
      <c r="N26" s="5">
        <f ca="1">IF(ATALI[[#This Row],[//]]="","",INDEX([6]!NOTA[HARGA SATUAN],ATALI[[#This Row],[//]]-2))</f>
        <v>25700</v>
      </c>
      <c r="O26" s="8">
        <f ca="1">IF(ATALI[[#This Row],[//]]="","",INDEX([6]!NOTA[DISC 1],ATALI[[#This Row],[//]]-2))</f>
        <v>0.125</v>
      </c>
      <c r="P26" s="8">
        <f ca="1">IF(ATALI[[#This Row],[//]]="","",INDEX([6]!NOTA[DISC 2],ATALI[[#This Row],[//]]-2))</f>
        <v>0.05</v>
      </c>
      <c r="Q26" s="5">
        <f ca="1">IF(ATALI[[#This Row],[//]]="","",INDEX([6]!NOTA[TOTAL],ATALI[[#This Row],[//]]-2))</f>
        <v>2050860</v>
      </c>
      <c r="R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4" t="str">
        <f ca="1">IF(ATALI[[#This Row],[//]]="","",INDEX([6]!NOTA[NAMA BARANG],ATALI[[#This Row],[//]]-2))</f>
        <v>WATER COLOR WAC-6ML-12 SCREW TYPE JK</v>
      </c>
      <c r="V26" s="4" t="str">
        <f ca="1">LOWER(SUBSTITUTE(SUBSTITUTE(SUBSTITUTE(SUBSTITUTE(SUBSTITUTE(SUBSTITUTE(SUBSTITUTE(ATALI[[#This Row],[N.B.nota]]," ",""),"-",""),"(",""),")",""),".",""),",",""),"/",""))</f>
        <v>watercolorwac6ml12screwtypejk</v>
      </c>
      <c r="W26" s="4" t="s">
        <v>137</v>
      </c>
      <c r="X26" s="4" t="str">
        <f ca="1">IF(ATALI[[#This Row],[N.B.nota]]="","",ADDRESS(ROW(ATALI[QB]),COLUMN(ATALI[QB]))&amp;":"&amp;ADDRESS(ROW(),COLUMN(ATALI[QB])))</f>
        <v>$D$3:$D$26</v>
      </c>
      <c r="Y26" s="14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6" t="str">
        <f>IF(ATALI[[#This Row],[N_ID]]="","",INDEX(Table1[ID],MATCH(ATALI[[#This Row],[N_ID]],Table1[N_ID],0)))</f>
        <v/>
      </c>
      <c r="C27" s="6" t="str">
        <f>IF(ATALI[[#This Row],[ID NOTA]]="","",HYPERLINK("[NOTA_.xlsx]NOTA!e"&amp;INDEX([6]!PAJAK[//],MATCH(ATALI[[#This Row],[ID NOTA]],[6]!PAJAK[ID],0)),"&gt;") )</f>
        <v/>
      </c>
      <c r="D27" s="6" t="str">
        <f>IF(ATALI[[#This Row],[ID NOTA]]="","",INDEX(Table1[QB],MATCH(ATALI[[#This Row],[ID NOTA]],Table1[ID],0)))</f>
        <v/>
      </c>
      <c r="E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241</v>
      </c>
      <c r="F27" s="6"/>
      <c r="G27" s="3" t="str">
        <f>IF(ATALI[[#This Row],[ID NOTA]]="","",INDEX([6]!NOTA[TGL_H],MATCH(ATALI[[#This Row],[ID NOTA]],[6]!NOTA[ID],0)))</f>
        <v/>
      </c>
      <c r="H27" s="3" t="str">
        <f>IF(ATALI[[#This Row],[ID NOTA]]="","",INDEX([6]!NOTA[TGL.NOTA],MATCH(ATALI[[#This Row],[ID NOTA]],[6]!NOTA[ID],0)))</f>
        <v/>
      </c>
      <c r="I27" s="4" t="str">
        <f>IF(ATALI[[#This Row],[ID NOTA]]="","",INDEX([6]!NOTA[NO.NOTA],MATCH(ATALI[[#This Row],[ID NOTA]],[6]!NOTA[ID],0)))</f>
        <v/>
      </c>
      <c r="J27" s="4" t="s">
        <v>252</v>
      </c>
      <c r="K27" s="6">
        <f ca="1">IF(ATALI[[#This Row],[//]]="","",IF(INDEX([6]!NOTA[C],ATALI[[#This Row],[//]]-2)="","",INDEX([6]!NOTA[C],ATALI[[#This Row],[//]]-2)))</f>
        <v>2</v>
      </c>
      <c r="L27" s="6">
        <f ca="1">IF(ATALI[[#This Row],[//]]="","",INDEX([6]!NOTA[QTY],ATALI[[#This Row],[//]]-2))</f>
        <v>48</v>
      </c>
      <c r="M27" s="6" t="str">
        <f ca="1">IF(ATALI[[#This Row],[//]]="","",INDEX([6]!NOTA[STN],ATALI[[#This Row],[//]]-2))</f>
        <v>PCS</v>
      </c>
      <c r="N27" s="5">
        <f ca="1">IF(ATALI[[#This Row],[//]]="","",INDEX([6]!NOTA[HARGA SATUAN],ATALI[[#This Row],[//]]-2))</f>
        <v>18800</v>
      </c>
      <c r="O27" s="8">
        <f ca="1">IF(ATALI[[#This Row],[//]]="","",INDEX([6]!NOTA[DISC 1],ATALI[[#This Row],[//]]-2))</f>
        <v>0.125</v>
      </c>
      <c r="P27" s="8">
        <f ca="1">IF(ATALI[[#This Row],[//]]="","",INDEX([6]!NOTA[DISC 2],ATALI[[#This Row],[//]]-2))</f>
        <v>0.05</v>
      </c>
      <c r="Q27" s="5">
        <f ca="1">IF(ATALI[[#This Row],[//]]="","",INDEX([6]!NOTA[TOTAL],ATALI[[#This Row],[//]]-2))</f>
        <v>750120</v>
      </c>
      <c r="R2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8147580</v>
      </c>
      <c r="T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4" t="str">
        <f ca="1">IF(ATALI[[#This Row],[//]]="","",INDEX([6]!NOTA[NAMA BARANG],ATALI[[#This Row],[//]]-2))</f>
        <v>TAPE CUTTER TD-103 JK</v>
      </c>
      <c r="V27" s="4" t="str">
        <f ca="1">LOWER(SUBSTITUTE(SUBSTITUTE(SUBSTITUTE(SUBSTITUTE(SUBSTITUTE(SUBSTITUTE(SUBSTITUTE(ATALI[[#This Row],[N.B.nota]]," ",""),"-",""),"(",""),")",""),".",""),",",""),"/",""))</f>
        <v>tapecuttertd103jk</v>
      </c>
      <c r="W27" s="4" t="s">
        <v>137</v>
      </c>
      <c r="X27" s="4" t="str">
        <f ca="1">IF(ATALI[[#This Row],[N.B.nota]]="","",ADDRESS(ROW(ATALI[QB]),COLUMN(ATALI[QB]))&amp;":"&amp;ADDRESS(ROW(),COLUMN(ATALI[QB])))</f>
        <v>$D$3:$D$27</v>
      </c>
      <c r="Y27" s="14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6" t="str">
        <f>IF(ATALI[[#This Row],[N_ID]]="","",INDEX(Table1[ID],MATCH(ATALI[[#This Row],[N_ID]],Table1[N_ID],0)))</f>
        <v/>
      </c>
      <c r="C28" s="6" t="str">
        <f>IF(ATALI[[#This Row],[ID NOTA]]="","",HYPERLINK("[NOTA_.xlsx]NOTA!e"&amp;INDEX([6]!PAJAK[//],MATCH(ATALI[[#This Row],[ID NOTA]],[6]!PAJAK[ID],0)),"&gt;") )</f>
        <v/>
      </c>
      <c r="D28" s="6" t="str">
        <f>IF(ATALI[[#This Row],[ID NOTA]]="","",INDEX(Table1[QB],MATCH(ATALI[[#This Row],[ID NOTA]],Table1[ID],0)))</f>
        <v/>
      </c>
      <c r="E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" s="6"/>
      <c r="G28" s="3" t="str">
        <f>IF(ATALI[[#This Row],[ID NOTA]]="","",INDEX([6]!NOTA[TGL_H],MATCH(ATALI[[#This Row],[ID NOTA]],[6]!NOTA[ID],0)))</f>
        <v/>
      </c>
      <c r="H28" s="3" t="str">
        <f>IF(ATALI[[#This Row],[ID NOTA]]="","",INDEX([6]!NOTA[TGL.NOTA],MATCH(ATALI[[#This Row],[ID NOTA]],[6]!NOTA[ID],0)))</f>
        <v/>
      </c>
      <c r="I28" s="4" t="str">
        <f>IF(ATALI[[#This Row],[ID NOTA]]="","",INDEX([6]!NOTA[NO.NOTA],MATCH(ATALI[[#This Row],[ID NOTA]],[6]!NOTA[ID],0)))</f>
        <v/>
      </c>
      <c r="J28" s="4" t="s">
        <v>136</v>
      </c>
      <c r="K28" s="6" t="str">
        <f ca="1">IF(ATALI[[#This Row],[//]]="","",IF(INDEX([6]!NOTA[C],ATALI[[#This Row],[//]]-2)="","",INDEX([6]!NOTA[C],ATALI[[#This Row],[//]]-2)))</f>
        <v/>
      </c>
      <c r="L28" s="6" t="str">
        <f ca="1">IF(ATALI[[#This Row],[//]]="","",INDEX([6]!NOTA[QTY],ATALI[[#This Row],[//]]-2))</f>
        <v/>
      </c>
      <c r="M28" s="6" t="str">
        <f ca="1">IF(ATALI[[#This Row],[//]]="","",INDEX([6]!NOTA[STN],ATALI[[#This Row],[//]]-2))</f>
        <v/>
      </c>
      <c r="N28" s="5" t="str">
        <f ca="1">IF(ATALI[[#This Row],[//]]="","",INDEX([6]!NOTA[HARGA SATUAN],ATALI[[#This Row],[//]]-2))</f>
        <v/>
      </c>
      <c r="O28" s="8" t="str">
        <f ca="1">IF(ATALI[[#This Row],[//]]="","",INDEX([6]!NOTA[DISC 1],ATALI[[#This Row],[//]]-2))</f>
        <v/>
      </c>
      <c r="P28" s="8" t="str">
        <f ca="1">IF(ATALI[[#This Row],[//]]="","",INDEX([6]!NOTA[DISC 2],ATALI[[#This Row],[//]]-2))</f>
        <v/>
      </c>
      <c r="Q28" s="5" t="str">
        <f ca="1">IF(ATALI[[#This Row],[//]]="","",INDEX([6]!NOTA[TOTAL],ATALI[[#This Row],[//]]-2))</f>
        <v/>
      </c>
      <c r="R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4" t="str">
        <f ca="1">IF(ATALI[[#This Row],[//]]="","",INDEX([6]!NOTA[NAMA BARANG],ATALI[[#This Row],[//]]-2))</f>
        <v/>
      </c>
      <c r="V28" s="4" t="str">
        <f ca="1">LOWER(SUBSTITUTE(SUBSTITUTE(SUBSTITUTE(SUBSTITUTE(SUBSTITUTE(SUBSTITUTE(SUBSTITUTE(ATALI[[#This Row],[N.B.nota]]," ",""),"-",""),"(",""),")",""),".",""),",",""),"/",""))</f>
        <v/>
      </c>
      <c r="W28" s="4" t="s">
        <v>136</v>
      </c>
      <c r="X28" s="4" t="str">
        <f ca="1">IF(ATALI[[#This Row],[N.B.nota]]="","",ADDRESS(ROW(ATALI[QB]),COLUMN(ATALI[QB]))&amp;":"&amp;ADDRESS(ROW(),COLUMN(ATALI[QB])))</f>
        <v/>
      </c>
      <c r="Y28" s="14" t="str">
        <f ca="1">IF(ATALI[[#This Row],[//]]="","",HYPERLINK("[../DB.xlsx]DB!e"&amp;MATCH(ATALI[[#This Row],[concat]],[4]!db[NB NOTA_C],0)+1,"&gt;"))</f>
        <v/>
      </c>
    </row>
    <row r="29" spans="1:25" x14ac:dyDescent="0.25">
      <c r="A29" s="4" t="s">
        <v>59</v>
      </c>
      <c r="B29" s="6">
        <f ca="1">IF(ATALI[[#This Row],[N_ID]]="","",INDEX(Table1[ID],MATCH(ATALI[[#This Row],[N_ID]],Table1[N_ID],0)))</f>
        <v>48</v>
      </c>
      <c r="C29" s="6" t="str">
        <f ca="1">IF(ATALI[[#This Row],[ID NOTA]]="","",HYPERLINK("[NOTA_.xlsx]NOTA!e"&amp;INDEX([6]!PAJAK[//],MATCH(ATALI[[#This Row],[ID NOTA]],[6]!PAJAK[ID],0)),"&gt;") )</f>
        <v>&gt;</v>
      </c>
      <c r="D29" s="6">
        <f ca="1">IF(ATALI[[#This Row],[ID NOTA]]="","",INDEX(Table1[QB],MATCH(ATALI[[#This Row],[ID NOTA]],Table1[ID],0)))</f>
        <v>7</v>
      </c>
      <c r="E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243</v>
      </c>
      <c r="F29" s="6"/>
      <c r="G29" s="3">
        <f ca="1">IF(ATALI[[#This Row],[ID NOTA]]="","",INDEX([6]!NOTA[TGL_H],MATCH(ATALI[[#This Row],[ID NOTA]],[6]!NOTA[ID],0)))</f>
        <v>44753</v>
      </c>
      <c r="H29" s="3">
        <f ca="1">IF(ATALI[[#This Row],[ID NOTA]]="","",INDEX([6]!NOTA[TGL.NOTA],MATCH(ATALI[[#This Row],[ID NOTA]],[6]!NOTA[ID],0)))</f>
        <v>44748</v>
      </c>
      <c r="I29" s="4" t="str">
        <f ca="1">IF(ATALI[[#This Row],[ID NOTA]]="","",INDEX([6]!NOTA[NO.NOTA],MATCH(ATALI[[#This Row],[ID NOTA]],[6]!NOTA[ID],0)))</f>
        <v>SA220709496</v>
      </c>
      <c r="J29" s="4" t="s">
        <v>267</v>
      </c>
      <c r="K29" s="6">
        <f ca="1">IF(ATALI[[#This Row],[//]]="","",IF(INDEX([6]!NOTA[C],ATALI[[#This Row],[//]]-2)="","",INDEX([6]!NOTA[C],ATALI[[#This Row],[//]]-2)))</f>
        <v>2</v>
      </c>
      <c r="L29" s="6">
        <f ca="1">IF(ATALI[[#This Row],[//]]="","",INDEX([6]!NOTA[QTY],ATALI[[#This Row],[//]]-2))</f>
        <v>10</v>
      </c>
      <c r="M29" s="6" t="str">
        <f ca="1">IF(ATALI[[#This Row],[//]]="","",INDEX([6]!NOTA[STN],ATALI[[#This Row],[//]]-2))</f>
        <v>GRS</v>
      </c>
      <c r="N29" s="5">
        <f ca="1">IF(ATALI[[#This Row],[//]]="","",INDEX([6]!NOTA[HARGA SATUAN],ATALI[[#This Row],[//]]-2))</f>
        <v>177000</v>
      </c>
      <c r="O29" s="8">
        <f ca="1">IF(ATALI[[#This Row],[//]]="","",INDEX([6]!NOTA[DISC 1],ATALI[[#This Row],[//]]-2))</f>
        <v>0.125</v>
      </c>
      <c r="P29" s="8">
        <f ca="1">IF(ATALI[[#This Row],[//]]="","",INDEX([6]!NOTA[DISC 2],ATALI[[#This Row],[//]]-2))</f>
        <v>0.05</v>
      </c>
      <c r="Q29" s="5">
        <f ca="1">IF(ATALI[[#This Row],[//]]="","",INDEX([6]!NOTA[TOTAL],ATALI[[#This Row],[//]]-2))</f>
        <v>1471312.5</v>
      </c>
      <c r="R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4" t="str">
        <f ca="1">IF(ATALI[[#This Row],[//]]="","",INDEX([6]!NOTA[NAMA BARANG],ATALI[[#This Row],[//]]-2))</f>
        <v>BINDER CLIP 260 JK</v>
      </c>
      <c r="V29" s="4" t="str">
        <f ca="1">LOWER(SUBSTITUTE(SUBSTITUTE(SUBSTITUTE(SUBSTITUTE(SUBSTITUTE(SUBSTITUTE(SUBSTITUTE(ATALI[[#This Row],[N.B.nota]]," ",""),"-",""),"(",""),")",""),".",""),",",""),"/",""))</f>
        <v>binderclip260jk</v>
      </c>
      <c r="W29" s="4" t="s">
        <v>137</v>
      </c>
      <c r="X29" s="4" t="str">
        <f ca="1">IF(ATALI[[#This Row],[N.B.nota]]="","",ADDRESS(ROW(ATALI[QB]),COLUMN(ATALI[QB]))&amp;":"&amp;ADDRESS(ROW(),COLUMN(ATALI[QB])))</f>
        <v>$D$3:$D$29</v>
      </c>
      <c r="Y29" s="14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6" t="str">
        <f>IF(ATALI[[#This Row],[N_ID]]="","",INDEX(Table1[ID],MATCH(ATALI[[#This Row],[N_ID]],Table1[N_ID],0)))</f>
        <v/>
      </c>
      <c r="C30" s="6" t="str">
        <f>IF(ATALI[[#This Row],[ID NOTA]]="","",HYPERLINK("[NOTA_.xlsx]NOTA!e"&amp;INDEX([6]!PAJAK[//],MATCH(ATALI[[#This Row],[ID NOTA]],[6]!PAJAK[ID],0)),"&gt;") )</f>
        <v/>
      </c>
      <c r="D30" s="6" t="str">
        <f>IF(ATALI[[#This Row],[ID NOTA]]="","",INDEX(Table1[QB],MATCH(ATALI[[#This Row],[ID NOTA]],Table1[ID],0)))</f>
        <v/>
      </c>
      <c r="E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244</v>
      </c>
      <c r="F30" s="6"/>
      <c r="G30" s="3" t="str">
        <f>IF(ATALI[[#This Row],[ID NOTA]]="","",INDEX([6]!NOTA[TGL_H],MATCH(ATALI[[#This Row],[ID NOTA]],[6]!NOTA[ID],0)))</f>
        <v/>
      </c>
      <c r="H30" s="3" t="str">
        <f>IF(ATALI[[#This Row],[ID NOTA]]="","",INDEX([6]!NOTA[TGL.NOTA],MATCH(ATALI[[#This Row],[ID NOTA]],[6]!NOTA[ID],0)))</f>
        <v/>
      </c>
      <c r="I30" s="4" t="str">
        <f>IF(ATALI[[#This Row],[ID NOTA]]="","",INDEX([6]!NOTA[NO.NOTA],MATCH(ATALI[[#This Row],[ID NOTA]],[6]!NOTA[ID],0)))</f>
        <v/>
      </c>
      <c r="J30" s="4" t="s">
        <v>255</v>
      </c>
      <c r="K30" s="6" t="str">
        <f ca="1">IF(ATALI[[#This Row],[//]]="","",IF(INDEX([6]!NOTA[C],ATALI[[#This Row],[//]]-2)="","",INDEX([6]!NOTA[C],ATALI[[#This Row],[//]]-2)))</f>
        <v/>
      </c>
      <c r="L30" s="6">
        <f ca="1">IF(ATALI[[#This Row],[//]]="","",INDEX([6]!NOTA[QTY],ATALI[[#This Row],[//]]-2))</f>
        <v>12</v>
      </c>
      <c r="M30" s="6" t="str">
        <f ca="1">IF(ATALI[[#This Row],[//]]="","",INDEX([6]!NOTA[STN],ATALI[[#This Row],[//]]-2))</f>
        <v>DZ</v>
      </c>
      <c r="N30" s="5">
        <f ca="1">IF(ATALI[[#This Row],[//]]="","",INDEX([6]!NOTA[HARGA SATUAN],ATALI[[#This Row],[//]]-2))</f>
        <v>12600</v>
      </c>
      <c r="O30" s="8">
        <f ca="1">IF(ATALI[[#This Row],[//]]="","",INDEX([6]!NOTA[DISC 1],ATALI[[#This Row],[//]]-2))</f>
        <v>0.125</v>
      </c>
      <c r="P30" s="8">
        <f ca="1">IF(ATALI[[#This Row],[//]]="","",INDEX([6]!NOTA[DISC 2],ATALI[[#This Row],[//]]-2))</f>
        <v>0.05</v>
      </c>
      <c r="Q30" s="5">
        <f ca="1">IF(ATALI[[#This Row],[//]]="","",INDEX([6]!NOTA[TOTAL],ATALI[[#This Row],[//]]-2))</f>
        <v>125685</v>
      </c>
      <c r="R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U/PEMB/ BINDER CLIP NO.105 S/D 300 JK</v>
      </c>
      <c r="U30" s="4" t="str">
        <f ca="1">IF(ATALI[[#This Row],[//]]="","",INDEX([6]!NOTA[NAMA BARANG],ATALI[[#This Row],[//]]-2))</f>
        <v>BALLPEN BP-338 VOCUS (BLACK) JK</v>
      </c>
      <c r="V30" s="4" t="str">
        <f ca="1">LOWER(SUBSTITUTE(SUBSTITUTE(SUBSTITUTE(SUBSTITUTE(SUBSTITUTE(SUBSTITUTE(SUBSTITUTE(ATALI[[#This Row],[N.B.nota]]," ",""),"-",""),"(",""),")",""),".",""),",",""),"/",""))</f>
        <v>ballpenbp338vocusblackjk</v>
      </c>
      <c r="W30" s="4" t="s">
        <v>137</v>
      </c>
      <c r="X30" s="4" t="str">
        <f ca="1">IF(ATALI[[#This Row],[N.B.nota]]="","",ADDRESS(ROW(ATALI[QB]),COLUMN(ATALI[QB]))&amp;":"&amp;ADDRESS(ROW(),COLUMN(ATALI[QB])))</f>
        <v>$D$3:$D$30</v>
      </c>
      <c r="Y30" s="14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6" t="str">
        <f>IF(ATALI[[#This Row],[N_ID]]="","",INDEX(Table1[ID],MATCH(ATALI[[#This Row],[N_ID]],Table1[N_ID],0)))</f>
        <v/>
      </c>
      <c r="C31" s="6" t="str">
        <f>IF(ATALI[[#This Row],[ID NOTA]]="","",HYPERLINK("[NOTA_.xlsx]NOTA!e"&amp;INDEX([6]!PAJAK[//],MATCH(ATALI[[#This Row],[ID NOTA]],[6]!PAJAK[ID],0)),"&gt;") )</f>
        <v/>
      </c>
      <c r="D31" s="6" t="str">
        <f>IF(ATALI[[#This Row],[ID NOTA]]="","",INDEX(Table1[QB],MATCH(ATALI[[#This Row],[ID NOTA]],Table1[ID],0)))</f>
        <v/>
      </c>
      <c r="E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245</v>
      </c>
      <c r="F31" s="6"/>
      <c r="G31" s="3" t="str">
        <f>IF(ATALI[[#This Row],[ID NOTA]]="","",INDEX([6]!NOTA[TGL_H],MATCH(ATALI[[#This Row],[ID NOTA]],[6]!NOTA[ID],0)))</f>
        <v/>
      </c>
      <c r="H31" s="3" t="str">
        <f>IF(ATALI[[#This Row],[ID NOTA]]="","",INDEX([6]!NOTA[TGL.NOTA],MATCH(ATALI[[#This Row],[ID NOTA]],[6]!NOTA[ID],0)))</f>
        <v/>
      </c>
      <c r="I31" s="4" t="str">
        <f>IF(ATALI[[#This Row],[ID NOTA]]="","",INDEX([6]!NOTA[NO.NOTA],MATCH(ATALI[[#This Row],[ID NOTA]],[6]!NOTA[ID],0)))</f>
        <v/>
      </c>
      <c r="J31" s="4" t="s">
        <v>268</v>
      </c>
      <c r="K31" s="6">
        <f ca="1">IF(ATALI[[#This Row],[//]]="","",IF(INDEX([6]!NOTA[C],ATALI[[#This Row],[//]]-2)="","",INDEX([6]!NOTA[C],ATALI[[#This Row],[//]]-2)))</f>
        <v>5</v>
      </c>
      <c r="L31" s="6">
        <f ca="1">IF(ATALI[[#This Row],[//]]="","",INDEX([6]!NOTA[QTY],ATALI[[#This Row],[//]]-2))</f>
        <v>720</v>
      </c>
      <c r="M31" s="6" t="str">
        <f ca="1">IF(ATALI[[#This Row],[//]]="","",INDEX([6]!NOTA[STN],ATALI[[#This Row],[//]]-2))</f>
        <v>SET</v>
      </c>
      <c r="N31" s="5">
        <f ca="1">IF(ATALI[[#This Row],[//]]="","",INDEX([6]!NOTA[HARGA SATUAN],ATALI[[#This Row],[//]]-2))</f>
        <v>11900</v>
      </c>
      <c r="O31" s="8">
        <f ca="1">IF(ATALI[[#This Row],[//]]="","",INDEX([6]!NOTA[DISC 1],ATALI[[#This Row],[//]]-2))</f>
        <v>0.125</v>
      </c>
      <c r="P31" s="8">
        <f ca="1">IF(ATALI[[#This Row],[//]]="","",INDEX([6]!NOTA[DISC 2],ATALI[[#This Row],[//]]-2))</f>
        <v>0.05</v>
      </c>
      <c r="Q31" s="5">
        <f ca="1">IF(ATALI[[#This Row],[//]]="","",INDEX([6]!NOTA[TOTAL],ATALI[[#This Row],[//]]-2))</f>
        <v>7122150</v>
      </c>
      <c r="R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4" t="str">
        <f ca="1">IF(ATALI[[#This Row],[//]]="","",INDEX([6]!NOTA[NAMA BARANG],ATALI[[#This Row],[//]]-2))</f>
        <v>OIL PASTEL OP-12S PP CASE SEA WORLD JK</v>
      </c>
      <c r="V3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31" s="4" t="s">
        <v>137</v>
      </c>
      <c r="X31" s="4" t="str">
        <f ca="1">IF(ATALI[[#This Row],[N.B.nota]]="","",ADDRESS(ROW(ATALI[QB]),COLUMN(ATALI[QB]))&amp;":"&amp;ADDRESS(ROW(),COLUMN(ATALI[QB])))</f>
        <v>$D$3:$D$31</v>
      </c>
      <c r="Y31" s="14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4"/>
      <c r="B32" s="6" t="str">
        <f>IF(ATALI[[#This Row],[N_ID]]="","",INDEX(Table1[ID],MATCH(ATALI[[#This Row],[N_ID]],Table1[N_ID],0)))</f>
        <v/>
      </c>
      <c r="C32" s="6" t="str">
        <f>IF(ATALI[[#This Row],[ID NOTA]]="","",HYPERLINK("[NOTA_.xlsx]NOTA!e"&amp;INDEX([6]!PAJAK[//],MATCH(ATALI[[#This Row],[ID NOTA]],[6]!PAJAK[ID],0)),"&gt;") )</f>
        <v/>
      </c>
      <c r="D32" s="6" t="str">
        <f>IF(ATALI[[#This Row],[ID NOTA]]="","",INDEX(Table1[QB],MATCH(ATALI[[#This Row],[ID NOTA]],Table1[ID],0)))</f>
        <v/>
      </c>
      <c r="E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246</v>
      </c>
      <c r="F32" s="6"/>
      <c r="G32" s="3" t="str">
        <f>IF(ATALI[[#This Row],[ID NOTA]]="","",INDEX([6]!NOTA[TGL_H],MATCH(ATALI[[#This Row],[ID NOTA]],[6]!NOTA[ID],0)))</f>
        <v/>
      </c>
      <c r="H32" s="3" t="str">
        <f>IF(ATALI[[#This Row],[ID NOTA]]="","",INDEX([6]!NOTA[TGL.NOTA],MATCH(ATALI[[#This Row],[ID NOTA]],[6]!NOTA[ID],0)))</f>
        <v/>
      </c>
      <c r="I32" s="4" t="str">
        <f>IF(ATALI[[#This Row],[ID NOTA]]="","",INDEX([6]!NOTA[NO.NOTA],MATCH(ATALI[[#This Row],[ID NOTA]],[6]!NOTA[ID],0)))</f>
        <v/>
      </c>
      <c r="J32" s="4" t="s">
        <v>269</v>
      </c>
      <c r="K32" s="6">
        <f ca="1">IF(ATALI[[#This Row],[//]]="","",IF(INDEX([6]!NOTA[C],ATALI[[#This Row],[//]]-2)="","",INDEX([6]!NOTA[C],ATALI[[#This Row],[//]]-2)))</f>
        <v>2</v>
      </c>
      <c r="L32" s="6">
        <f ca="1">IF(ATALI[[#This Row],[//]]="","",INDEX([6]!NOTA[QTY],ATALI[[#This Row],[//]]-2))</f>
        <v>144</v>
      </c>
      <c r="M32" s="6" t="str">
        <f ca="1">IF(ATALI[[#This Row],[//]]="","",INDEX([6]!NOTA[STN],ATALI[[#This Row],[//]]-2))</f>
        <v>SET</v>
      </c>
      <c r="N32" s="5">
        <f ca="1">IF(ATALI[[#This Row],[//]]="","",INDEX([6]!NOTA[HARGA SATUAN],ATALI[[#This Row],[//]]-2))</f>
        <v>23000</v>
      </c>
      <c r="O32" s="8">
        <f ca="1">IF(ATALI[[#This Row],[//]]="","",INDEX([6]!NOTA[DISC 1],ATALI[[#This Row],[//]]-2))</f>
        <v>0.125</v>
      </c>
      <c r="P32" s="8">
        <f ca="1">IF(ATALI[[#This Row],[//]]="","",INDEX([6]!NOTA[DISC 2],ATALI[[#This Row],[//]]-2))</f>
        <v>0.05</v>
      </c>
      <c r="Q32" s="5">
        <f ca="1">IF(ATALI[[#This Row],[//]]="","",INDEX([6]!NOTA[TOTAL],ATALI[[#This Row],[//]]-2))</f>
        <v>2753100</v>
      </c>
      <c r="R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4" t="str">
        <f ca="1">IF(ATALI[[#This Row],[//]]="","",INDEX([6]!NOTA[NAMA BARANG],ATALI[[#This Row],[//]]-2))</f>
        <v>OIL PASTEL OP-18S PP CASE SEA WORLD JK</v>
      </c>
      <c r="V3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32" s="4" t="s">
        <v>137</v>
      </c>
      <c r="X32" s="4" t="str">
        <f ca="1">IF(ATALI[[#This Row],[N.B.nota]]="","",ADDRESS(ROW(ATALI[QB]),COLUMN(ATALI[QB]))&amp;":"&amp;ADDRESS(ROW(),COLUMN(ATALI[QB])))</f>
        <v>$D$3:$D$32</v>
      </c>
      <c r="Y32" s="14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6" t="str">
        <f>IF(ATALI[[#This Row],[N_ID]]="","",INDEX(Table1[ID],MATCH(ATALI[[#This Row],[N_ID]],Table1[N_ID],0)))</f>
        <v/>
      </c>
      <c r="C33" s="6" t="str">
        <f>IF(ATALI[[#This Row],[ID NOTA]]="","",HYPERLINK("[NOTA_.xlsx]NOTA!e"&amp;INDEX([6]!PAJAK[//],MATCH(ATALI[[#This Row],[ID NOTA]],[6]!PAJAK[ID],0)),"&gt;") )</f>
        <v/>
      </c>
      <c r="D33" s="6" t="str">
        <f>IF(ATALI[[#This Row],[ID NOTA]]="","",INDEX(Table1[QB],MATCH(ATALI[[#This Row],[ID NOTA]],Table1[ID],0)))</f>
        <v/>
      </c>
      <c r="E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247</v>
      </c>
      <c r="F33" s="6"/>
      <c r="G33" s="3" t="str">
        <f>IF(ATALI[[#This Row],[ID NOTA]]="","",INDEX([6]!NOTA[TGL_H],MATCH(ATALI[[#This Row],[ID NOTA]],[6]!NOTA[ID],0)))</f>
        <v/>
      </c>
      <c r="H33" s="3" t="str">
        <f>IF(ATALI[[#This Row],[ID NOTA]]="","",INDEX([6]!NOTA[TGL.NOTA],MATCH(ATALI[[#This Row],[ID NOTA]],[6]!NOTA[ID],0)))</f>
        <v/>
      </c>
      <c r="I33" s="4" t="str">
        <f>IF(ATALI[[#This Row],[ID NOTA]]="","",INDEX([6]!NOTA[NO.NOTA],MATCH(ATALI[[#This Row],[ID NOTA]],[6]!NOTA[ID],0)))</f>
        <v/>
      </c>
      <c r="J33" s="4" t="s">
        <v>270</v>
      </c>
      <c r="K33" s="6">
        <f ca="1">IF(ATALI[[#This Row],[//]]="","",IF(INDEX([6]!NOTA[C],ATALI[[#This Row],[//]]-2)="","",INDEX([6]!NOTA[C],ATALI[[#This Row],[//]]-2)))</f>
        <v>5</v>
      </c>
      <c r="L33" s="6">
        <f ca="1">IF(ATALI[[#This Row],[//]]="","",INDEX([6]!NOTA[QTY],ATALI[[#This Row],[//]]-2))</f>
        <v>240</v>
      </c>
      <c r="M33" s="6" t="str">
        <f ca="1">IF(ATALI[[#This Row],[//]]="","",INDEX([6]!NOTA[STN],ATALI[[#This Row],[//]]-2))</f>
        <v>SET</v>
      </c>
      <c r="N33" s="5">
        <f ca="1">IF(ATALI[[#This Row],[//]]="","",INDEX([6]!NOTA[HARGA SATUAN],ATALI[[#This Row],[//]]-2))</f>
        <v>28700</v>
      </c>
      <c r="O33" s="8">
        <f ca="1">IF(ATALI[[#This Row],[//]]="","",INDEX([6]!NOTA[DISC 1],ATALI[[#This Row],[//]]-2))</f>
        <v>0.125</v>
      </c>
      <c r="P33" s="8">
        <f ca="1">IF(ATALI[[#This Row],[//]]="","",INDEX([6]!NOTA[DISC 2],ATALI[[#This Row],[//]]-2))</f>
        <v>0.05</v>
      </c>
      <c r="Q33" s="5">
        <f ca="1">IF(ATALI[[#This Row],[//]]="","",INDEX([6]!NOTA[TOTAL],ATALI[[#This Row],[//]]-2))</f>
        <v>5725650</v>
      </c>
      <c r="R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4" t="str">
        <f ca="1">IF(ATALI[[#This Row],[//]]="","",INDEX([6]!NOTA[NAMA BARANG],ATALI[[#This Row],[//]]-2))</f>
        <v>OIL PASTEL OP-24S PP CASE SEA WORLD JK</v>
      </c>
      <c r="V3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33" s="4" t="s">
        <v>137</v>
      </c>
      <c r="X33" s="4" t="str">
        <f ca="1">IF(ATALI[[#This Row],[N.B.nota]]="","",ADDRESS(ROW(ATALI[QB]),COLUMN(ATALI[QB]))&amp;":"&amp;ADDRESS(ROW(),COLUMN(ATALI[QB])))</f>
        <v>$D$3:$D$33</v>
      </c>
      <c r="Y33" s="14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6" t="str">
        <f>IF(ATALI[[#This Row],[N_ID]]="","",INDEX(Table1[ID],MATCH(ATALI[[#This Row],[N_ID]],Table1[N_ID],0)))</f>
        <v/>
      </c>
      <c r="C34" s="6" t="str">
        <f>IF(ATALI[[#This Row],[ID NOTA]]="","",HYPERLINK("[NOTA_.xlsx]NOTA!e"&amp;INDEX([6]!PAJAK[//],MATCH(ATALI[[#This Row],[ID NOTA]],[6]!PAJAK[ID],0)),"&gt;") )</f>
        <v/>
      </c>
      <c r="D34" s="6" t="str">
        <f>IF(ATALI[[#This Row],[ID NOTA]]="","",INDEX(Table1[QB],MATCH(ATALI[[#This Row],[ID NOTA]],Table1[ID],0)))</f>
        <v/>
      </c>
      <c r="E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248</v>
      </c>
      <c r="F34" s="6"/>
      <c r="G34" s="3" t="str">
        <f>IF(ATALI[[#This Row],[ID NOTA]]="","",INDEX([6]!NOTA[TGL_H],MATCH(ATALI[[#This Row],[ID NOTA]],[6]!NOTA[ID],0)))</f>
        <v/>
      </c>
      <c r="H34" s="3" t="str">
        <f>IF(ATALI[[#This Row],[ID NOTA]]="","",INDEX([6]!NOTA[TGL.NOTA],MATCH(ATALI[[#This Row],[ID NOTA]],[6]!NOTA[ID],0)))</f>
        <v/>
      </c>
      <c r="I34" s="4" t="str">
        <f>IF(ATALI[[#This Row],[ID NOTA]]="","",INDEX([6]!NOTA[NO.NOTA],MATCH(ATALI[[#This Row],[ID NOTA]],[6]!NOTA[ID],0)))</f>
        <v/>
      </c>
      <c r="J34" s="4" t="s">
        <v>271</v>
      </c>
      <c r="K34" s="6">
        <f ca="1">IF(ATALI[[#This Row],[//]]="","",IF(INDEX([6]!NOTA[C],ATALI[[#This Row],[//]]-2)="","",INDEX([6]!NOTA[C],ATALI[[#This Row],[//]]-2)))</f>
        <v>2</v>
      </c>
      <c r="L34" s="6">
        <f ca="1">IF(ATALI[[#This Row],[//]]="","",INDEX([6]!NOTA[QTY],ATALI[[#This Row],[//]]-2))</f>
        <v>48</v>
      </c>
      <c r="M34" s="6" t="str">
        <f ca="1">IF(ATALI[[#This Row],[//]]="","",INDEX([6]!NOTA[STN],ATALI[[#This Row],[//]]-2))</f>
        <v>SET</v>
      </c>
      <c r="N34" s="5">
        <f ca="1">IF(ATALI[[#This Row],[//]]="","",INDEX([6]!NOTA[HARGA SATUAN],ATALI[[#This Row],[//]]-2))</f>
        <v>58900</v>
      </c>
      <c r="O34" s="8">
        <f ca="1">IF(ATALI[[#This Row],[//]]="","",INDEX([6]!NOTA[DISC 1],ATALI[[#This Row],[//]]-2))</f>
        <v>0.125</v>
      </c>
      <c r="P34" s="8">
        <f ca="1">IF(ATALI[[#This Row],[//]]="","",INDEX([6]!NOTA[DISC 2],ATALI[[#This Row],[//]]-2))</f>
        <v>0.05</v>
      </c>
      <c r="Q34" s="5">
        <f ca="1">IF(ATALI[[#This Row],[//]]="","",INDEX([6]!NOTA[TOTAL],ATALI[[#This Row],[//]]-2))</f>
        <v>2350110</v>
      </c>
      <c r="R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4" t="str">
        <f ca="1">IF(ATALI[[#This Row],[//]]="","",INDEX([6]!NOTA[NAMA BARANG],ATALI[[#This Row],[//]]-2))</f>
        <v>OIL PASTEL OP-48S PP CASE SEA WORLD JK</v>
      </c>
      <c r="V3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34" s="4" t="s">
        <v>137</v>
      </c>
      <c r="X34" s="4" t="str">
        <f ca="1">IF(ATALI[[#This Row],[N.B.nota]]="","",ADDRESS(ROW(ATALI[QB]),COLUMN(ATALI[QB]))&amp;":"&amp;ADDRESS(ROW(),COLUMN(ATALI[QB])))</f>
        <v>$D$3:$D$34</v>
      </c>
      <c r="Y34" s="14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6" t="str">
        <f>IF(ATALI[[#This Row],[N_ID]]="","",INDEX(Table1[ID],MATCH(ATALI[[#This Row],[N_ID]],Table1[N_ID],0)))</f>
        <v/>
      </c>
      <c r="C35" s="6" t="str">
        <f>IF(ATALI[[#This Row],[ID NOTA]]="","",HYPERLINK("[NOTA_.xlsx]NOTA!e"&amp;INDEX([6]!PAJAK[//],MATCH(ATALI[[#This Row],[ID NOTA]],[6]!PAJAK[ID],0)),"&gt;") )</f>
        <v/>
      </c>
      <c r="D35" s="6" t="str">
        <f>IF(ATALI[[#This Row],[ID NOTA]]="","",INDEX(Table1[QB],MATCH(ATALI[[#This Row],[ID NOTA]],Table1[ID],0)))</f>
        <v/>
      </c>
      <c r="E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249</v>
      </c>
      <c r="F35" s="6"/>
      <c r="G35" s="3" t="str">
        <f>IF(ATALI[[#This Row],[ID NOTA]]="","",INDEX([6]!NOTA[TGL_H],MATCH(ATALI[[#This Row],[ID NOTA]],[6]!NOTA[ID],0)))</f>
        <v/>
      </c>
      <c r="H35" s="3" t="str">
        <f>IF(ATALI[[#This Row],[ID NOTA]]="","",INDEX([6]!NOTA[TGL.NOTA],MATCH(ATALI[[#This Row],[ID NOTA]],[6]!NOTA[ID],0)))</f>
        <v/>
      </c>
      <c r="I35" s="4" t="str">
        <f>IF(ATALI[[#This Row],[ID NOTA]]="","",INDEX([6]!NOTA[NO.NOTA],MATCH(ATALI[[#This Row],[ID NOTA]],[6]!NOTA[ID],0)))</f>
        <v/>
      </c>
      <c r="J35" s="4" t="s">
        <v>255</v>
      </c>
      <c r="K35" s="6" t="str">
        <f ca="1">IF(ATALI[[#This Row],[//]]="","",IF(INDEX([6]!NOTA[C],ATALI[[#This Row],[//]]-2)="","",INDEX([6]!NOTA[C],ATALI[[#This Row],[//]]-2)))</f>
        <v/>
      </c>
      <c r="L35" s="6">
        <f ca="1">IF(ATALI[[#This Row],[//]]="","",INDEX([6]!NOTA[QTY],ATALI[[#This Row],[//]]-2))</f>
        <v>84</v>
      </c>
      <c r="M35" s="6" t="str">
        <f ca="1">IF(ATALI[[#This Row],[//]]="","",INDEX([6]!NOTA[STN],ATALI[[#This Row],[//]]-2))</f>
        <v>DZ</v>
      </c>
      <c r="N35" s="5">
        <f ca="1">IF(ATALI[[#This Row],[//]]="","",INDEX([6]!NOTA[HARGA SATUAN],ATALI[[#This Row],[//]]-2))</f>
        <v>12600</v>
      </c>
      <c r="O35" s="8">
        <f ca="1">IF(ATALI[[#This Row],[//]]="","",INDEX([6]!NOTA[DISC 1],ATALI[[#This Row],[//]]-2))</f>
        <v>0.125</v>
      </c>
      <c r="P35" s="8">
        <f ca="1">IF(ATALI[[#This Row],[//]]="","",INDEX([6]!NOTA[DISC 2],ATALI[[#This Row],[//]]-2))</f>
        <v>0.05</v>
      </c>
      <c r="Q35" s="5">
        <f ca="1">IF(ATALI[[#This Row],[//]]="","",INDEX([6]!NOTA[TOTAL],ATALI[[#This Row],[//]]-2))</f>
        <v>879795</v>
      </c>
      <c r="R3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1005480</v>
      </c>
      <c r="S3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19422322.5</v>
      </c>
      <c r="T35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BONUS/ PEMB OIL PASTEL &amp; CRAYON PUTAR JK</v>
      </c>
      <c r="U35" s="4" t="str">
        <f ca="1">IF(ATALI[[#This Row],[//]]="","",INDEX([6]!NOTA[NAMA BARANG],ATALI[[#This Row],[//]]-2))</f>
        <v>BALLPEN BP-338 VOCUS (BLACK) JK</v>
      </c>
      <c r="V35" s="4" t="str">
        <f ca="1">LOWER(SUBSTITUTE(SUBSTITUTE(SUBSTITUTE(SUBSTITUTE(SUBSTITUTE(SUBSTITUTE(SUBSTITUTE(ATALI[[#This Row],[N.B.nota]]," ",""),"-",""),"(",""),")",""),".",""),",",""),"/",""))</f>
        <v>ballpenbp338vocusblackjk</v>
      </c>
      <c r="W35" s="4" t="s">
        <v>137</v>
      </c>
      <c r="X35" s="4" t="str">
        <f ca="1">IF(ATALI[[#This Row],[N.B.nota]]="","",ADDRESS(ROW(ATALI[QB]),COLUMN(ATALI[QB]))&amp;":"&amp;ADDRESS(ROW(),COLUMN(ATALI[QB])))</f>
        <v>$D$3:$D$35</v>
      </c>
      <c r="Y35" s="14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6" t="str">
        <f>IF(ATALI[[#This Row],[N_ID]]="","",INDEX(Table1[ID],MATCH(ATALI[[#This Row],[N_ID]],Table1[N_ID],0)))</f>
        <v/>
      </c>
      <c r="C36" s="6" t="str">
        <f>IF(ATALI[[#This Row],[ID NOTA]]="","",HYPERLINK("[NOTA_.xlsx]NOTA!e"&amp;INDEX([6]!PAJAK[//],MATCH(ATALI[[#This Row],[ID NOTA]],[6]!PAJAK[ID],0)),"&gt;") )</f>
        <v/>
      </c>
      <c r="D36" s="6" t="str">
        <f>IF(ATALI[[#This Row],[ID NOTA]]="","",INDEX(Table1[QB],MATCH(ATALI[[#This Row],[ID NOTA]],Table1[ID],0)))</f>
        <v/>
      </c>
      <c r="E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" s="6"/>
      <c r="G36" s="3" t="str">
        <f>IF(ATALI[[#This Row],[ID NOTA]]="","",INDEX([6]!NOTA[TGL_H],MATCH(ATALI[[#This Row],[ID NOTA]],[6]!NOTA[ID],0)))</f>
        <v/>
      </c>
      <c r="H36" s="3" t="str">
        <f>IF(ATALI[[#This Row],[ID NOTA]]="","",INDEX([6]!NOTA[TGL.NOTA],MATCH(ATALI[[#This Row],[ID NOTA]],[6]!NOTA[ID],0)))</f>
        <v/>
      </c>
      <c r="I36" s="4" t="str">
        <f>IF(ATALI[[#This Row],[ID NOTA]]="","",INDEX([6]!NOTA[NO.NOTA],MATCH(ATALI[[#This Row],[ID NOTA]],[6]!NOTA[ID],0)))</f>
        <v/>
      </c>
      <c r="J36" s="4" t="s">
        <v>136</v>
      </c>
      <c r="K36" s="6" t="str">
        <f ca="1">IF(ATALI[[#This Row],[//]]="","",IF(INDEX([6]!NOTA[C],ATALI[[#This Row],[//]]-2)="","",INDEX([6]!NOTA[C],ATALI[[#This Row],[//]]-2)))</f>
        <v/>
      </c>
      <c r="L36" s="6" t="str">
        <f ca="1">IF(ATALI[[#This Row],[//]]="","",INDEX([6]!NOTA[QTY],ATALI[[#This Row],[//]]-2))</f>
        <v/>
      </c>
      <c r="M36" s="6" t="str">
        <f ca="1">IF(ATALI[[#This Row],[//]]="","",INDEX([6]!NOTA[STN],ATALI[[#This Row],[//]]-2))</f>
        <v/>
      </c>
      <c r="N36" s="5" t="str">
        <f ca="1">IF(ATALI[[#This Row],[//]]="","",INDEX([6]!NOTA[HARGA SATUAN],ATALI[[#This Row],[//]]-2))</f>
        <v/>
      </c>
      <c r="O36" s="8" t="str">
        <f ca="1">IF(ATALI[[#This Row],[//]]="","",INDEX([6]!NOTA[DISC 1],ATALI[[#This Row],[//]]-2))</f>
        <v/>
      </c>
      <c r="P36" s="8" t="str">
        <f ca="1">IF(ATALI[[#This Row],[//]]="","",INDEX([6]!NOTA[DISC 2],ATALI[[#This Row],[//]]-2))</f>
        <v/>
      </c>
      <c r="Q36" s="5" t="str">
        <f ca="1">IF(ATALI[[#This Row],[//]]="","",INDEX([6]!NOTA[TOTAL],ATALI[[#This Row],[//]]-2))</f>
        <v/>
      </c>
      <c r="R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4" t="str">
        <f ca="1">IF(ATALI[[#This Row],[//]]="","",INDEX([6]!NOTA[NAMA BARANG],ATALI[[#This Row],[//]]-2))</f>
        <v/>
      </c>
      <c r="V36" s="4" t="str">
        <f ca="1">LOWER(SUBSTITUTE(SUBSTITUTE(SUBSTITUTE(SUBSTITUTE(SUBSTITUTE(SUBSTITUTE(SUBSTITUTE(ATALI[[#This Row],[N.B.nota]]," ",""),"-",""),"(",""),")",""),".",""),",",""),"/",""))</f>
        <v/>
      </c>
      <c r="W36" s="4" t="s">
        <v>136</v>
      </c>
      <c r="X36" s="4" t="str">
        <f ca="1">IF(ATALI[[#This Row],[N.B.nota]]="","",ADDRESS(ROW(ATALI[QB]),COLUMN(ATALI[QB]))&amp;":"&amp;ADDRESS(ROW(),COLUMN(ATALI[QB])))</f>
        <v/>
      </c>
      <c r="Y36" s="14" t="str">
        <f ca="1">IF(ATALI[[#This Row],[//]]="","",HYPERLINK("[../DB.xlsx]DB!e"&amp;MATCH(ATALI[[#This Row],[concat]],[4]!db[NB NOTA_C],0)+1,"&gt;"))</f>
        <v/>
      </c>
    </row>
    <row r="37" spans="1:25" x14ac:dyDescent="0.25">
      <c r="A37" s="4" t="s">
        <v>60</v>
      </c>
      <c r="B37" s="6">
        <f ca="1">IF(ATALI[[#This Row],[N_ID]]="","",INDEX(Table1[ID],MATCH(ATALI[[#This Row],[N_ID]],Table1[N_ID],0)))</f>
        <v>73</v>
      </c>
      <c r="C37" s="6" t="str">
        <f ca="1">IF(ATALI[[#This Row],[ID NOTA]]="","",HYPERLINK("[NOTA_.xlsx]NOTA!e"&amp;INDEX([6]!PAJAK[//],MATCH(ATALI[[#This Row],[ID NOTA]],[6]!PAJAK[ID],0)),"&gt;") )</f>
        <v>&gt;</v>
      </c>
      <c r="D37" s="6">
        <f ca="1">IF(ATALI[[#This Row],[ID NOTA]]="","",INDEX(Table1[QB],MATCH(ATALI[[#This Row],[ID NOTA]],Table1[ID],0)))</f>
        <v>2</v>
      </c>
      <c r="E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361</v>
      </c>
      <c r="F37" s="6"/>
      <c r="G37" s="3">
        <f ca="1">IF(ATALI[[#This Row],[ID NOTA]]="","",INDEX([6]!NOTA[TGL_H],MATCH(ATALI[[#This Row],[ID NOTA]],[6]!NOTA[ID],0)))</f>
        <v>44756</v>
      </c>
      <c r="H37" s="3">
        <f ca="1">IF(ATALI[[#This Row],[ID NOTA]]="","",INDEX([6]!NOTA[TGL.NOTA],MATCH(ATALI[[#This Row],[ID NOTA]],[6]!NOTA[ID],0)))</f>
        <v>44750</v>
      </c>
      <c r="I37" s="4" t="str">
        <f ca="1">IF(ATALI[[#This Row],[ID NOTA]]="","",INDEX([6]!NOTA[NO.NOTA],MATCH(ATALI[[#This Row],[ID NOTA]],[6]!NOTA[ID],0)))</f>
        <v>SA220709637</v>
      </c>
      <c r="J37" s="4" t="s">
        <v>272</v>
      </c>
      <c r="K37" s="6">
        <f ca="1">IF(ATALI[[#This Row],[//]]="","",IF(INDEX([6]!NOTA[C],ATALI[[#This Row],[//]]-2)="","",INDEX([6]!NOTA[C],ATALI[[#This Row],[//]]-2)))</f>
        <v>10</v>
      </c>
      <c r="L37" s="6">
        <f ca="1">IF(ATALI[[#This Row],[//]]="","",INDEX([6]!NOTA[QTY],ATALI[[#This Row],[//]]-2))</f>
        <v>200</v>
      </c>
      <c r="M37" s="6" t="str">
        <f ca="1">IF(ATALI[[#This Row],[//]]="","",INDEX([6]!NOTA[STN],ATALI[[#This Row],[//]]-2))</f>
        <v>DZ</v>
      </c>
      <c r="N37" s="5">
        <f ca="1">IF(ATALI[[#This Row],[//]]="","",INDEX([6]!NOTA[HARGA SATUAN],ATALI[[#This Row],[//]]-2))</f>
        <v>85200</v>
      </c>
      <c r="O37" s="8">
        <f ca="1">IF(ATALI[[#This Row],[//]]="","",INDEX([6]!NOTA[DISC 1],ATALI[[#This Row],[//]]-2))</f>
        <v>0.125</v>
      </c>
      <c r="P37" s="8">
        <f ca="1">IF(ATALI[[#This Row],[//]]="","",INDEX([6]!NOTA[DISC 2],ATALI[[#This Row],[//]]-2))</f>
        <v>0.05</v>
      </c>
      <c r="Q37" s="5">
        <f ca="1">IF(ATALI[[#This Row],[//]]="","",INDEX([6]!NOTA[TOTAL],ATALI[[#This Row],[//]]-2))</f>
        <v>14164500</v>
      </c>
      <c r="R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4" t="str">
        <f ca="1">IF(ATALI[[#This Row],[//]]="","",INDEX([6]!NOTA[NAMA BARANG],ATALI[[#This Row],[//]]-2))</f>
        <v>STAPLER HD-10 JK</v>
      </c>
      <c r="V37" s="4" t="str">
        <f ca="1">LOWER(SUBSTITUTE(SUBSTITUTE(SUBSTITUTE(SUBSTITUTE(SUBSTITUTE(SUBSTITUTE(SUBSTITUTE(ATALI[[#This Row],[N.B.nota]]," ",""),"-",""),"(",""),")",""),".",""),",",""),"/",""))</f>
        <v>staplerhd10jk</v>
      </c>
      <c r="W37" s="4" t="s">
        <v>137</v>
      </c>
      <c r="X37" s="4" t="str">
        <f ca="1">IF(ATALI[[#This Row],[N.B.nota]]="","",ADDRESS(ROW(ATALI[QB]),COLUMN(ATALI[QB]))&amp;":"&amp;ADDRESS(ROW(),COLUMN(ATALI[QB])))</f>
        <v>$D$3:$D$37</v>
      </c>
      <c r="Y37" s="14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6" t="str">
        <f>IF(ATALI[[#This Row],[N_ID]]="","",INDEX(Table1[ID],MATCH(ATALI[[#This Row],[N_ID]],Table1[N_ID],0)))</f>
        <v/>
      </c>
      <c r="C38" s="6" t="str">
        <f>IF(ATALI[[#This Row],[ID NOTA]]="","",HYPERLINK("[NOTA_.xlsx]NOTA!e"&amp;INDEX([6]!PAJAK[//],MATCH(ATALI[[#This Row],[ID NOTA]],[6]!PAJAK[ID],0)),"&gt;") )</f>
        <v/>
      </c>
      <c r="D38" s="6" t="str">
        <f>IF(ATALI[[#This Row],[ID NOTA]]="","",INDEX(Table1[QB],MATCH(ATALI[[#This Row],[ID NOTA]],Table1[ID],0)))</f>
        <v/>
      </c>
      <c r="E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362</v>
      </c>
      <c r="F38" s="6"/>
      <c r="G38" s="3" t="str">
        <f>IF(ATALI[[#This Row],[ID NOTA]]="","",INDEX([6]!NOTA[TGL_H],MATCH(ATALI[[#This Row],[ID NOTA]],[6]!NOTA[ID],0)))</f>
        <v/>
      </c>
      <c r="H38" s="3" t="str">
        <f>IF(ATALI[[#This Row],[ID NOTA]]="","",INDEX([6]!NOTA[TGL.NOTA],MATCH(ATALI[[#This Row],[ID NOTA]],[6]!NOTA[ID],0)))</f>
        <v/>
      </c>
      <c r="I38" s="4" t="str">
        <f>IF(ATALI[[#This Row],[ID NOTA]]="","",INDEX([6]!NOTA[NO.NOTA],MATCH(ATALI[[#This Row],[ID NOTA]],[6]!NOTA[ID],0)))</f>
        <v/>
      </c>
      <c r="J38" s="4" t="s">
        <v>273</v>
      </c>
      <c r="K38" s="6">
        <f ca="1">IF(ATALI[[#This Row],[//]]="","",IF(INDEX([6]!NOTA[C],ATALI[[#This Row],[//]]-2)="","",INDEX([6]!NOTA[C],ATALI[[#This Row],[//]]-2)))</f>
        <v>10</v>
      </c>
      <c r="L38" s="6">
        <f ca="1">IF(ATALI[[#This Row],[//]]="","",INDEX([6]!NOTA[QTY],ATALI[[#This Row],[//]]-2))</f>
        <v>1200</v>
      </c>
      <c r="M38" s="6" t="str">
        <f ca="1">IF(ATALI[[#This Row],[//]]="","",INDEX([6]!NOTA[STN],ATALI[[#This Row],[//]]-2))</f>
        <v>PCS</v>
      </c>
      <c r="N38" s="5">
        <f ca="1">IF(ATALI[[#This Row],[//]]="","",INDEX([6]!NOTA[HARGA SATUAN],ATALI[[#This Row],[//]]-2))</f>
        <v>18700</v>
      </c>
      <c r="O38" s="8">
        <f ca="1">IF(ATALI[[#This Row],[//]]="","",INDEX([6]!NOTA[DISC 1],ATALI[[#This Row],[//]]-2))</f>
        <v>0.125</v>
      </c>
      <c r="P38" s="8">
        <f ca="1">IF(ATALI[[#This Row],[//]]="","",INDEX([6]!NOTA[DISC 2],ATALI[[#This Row],[//]]-2))</f>
        <v>0.05</v>
      </c>
      <c r="Q38" s="5">
        <f ca="1">IF(ATALI[[#This Row],[//]]="","",INDEX([6]!NOTA[TOTAL],ATALI[[#This Row],[//]]-2))</f>
        <v>18653250</v>
      </c>
      <c r="R3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2748872</v>
      </c>
      <c r="S3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30068878</v>
      </c>
      <c r="T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4" t="str">
        <f ca="1">IF(ATALI[[#This Row],[//]]="","",INDEX([6]!NOTA[NAMA BARANG],ATALI[[#This Row],[//]]-2))</f>
        <v>STAPLER HD-50 JK</v>
      </c>
      <c r="V38" s="4" t="str">
        <f ca="1">LOWER(SUBSTITUTE(SUBSTITUTE(SUBSTITUTE(SUBSTITUTE(SUBSTITUTE(SUBSTITUTE(SUBSTITUTE(ATALI[[#This Row],[N.B.nota]]," ",""),"-",""),"(",""),")",""),".",""),",",""),"/",""))</f>
        <v>staplerhd50jk</v>
      </c>
      <c r="W38" s="4" t="s">
        <v>137</v>
      </c>
      <c r="X38" s="4" t="str">
        <f ca="1">IF(ATALI[[#This Row],[N.B.nota]]="","",ADDRESS(ROW(ATALI[QB]),COLUMN(ATALI[QB]))&amp;":"&amp;ADDRESS(ROW(),COLUMN(ATALI[QB])))</f>
        <v>$D$3:$D$38</v>
      </c>
      <c r="Y38" s="14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6" t="str">
        <f>IF(ATALI[[#This Row],[N_ID]]="","",INDEX(Table1[ID],MATCH(ATALI[[#This Row],[N_ID]],Table1[N_ID],0)))</f>
        <v/>
      </c>
      <c r="C39" s="6" t="str">
        <f>IF(ATALI[[#This Row],[ID NOTA]]="","",HYPERLINK("[NOTA_.xlsx]NOTA!e"&amp;INDEX([6]!PAJAK[//],MATCH(ATALI[[#This Row],[ID NOTA]],[6]!PAJAK[ID],0)),"&gt;") )</f>
        <v/>
      </c>
      <c r="D39" s="6" t="str">
        <f>IF(ATALI[[#This Row],[ID NOTA]]="","",INDEX(Table1[QB],MATCH(ATALI[[#This Row],[ID NOTA]],Table1[ID],0)))</f>
        <v/>
      </c>
      <c r="E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" s="6"/>
      <c r="G39" s="3" t="str">
        <f>IF(ATALI[[#This Row],[ID NOTA]]="","",INDEX([6]!NOTA[TGL_H],MATCH(ATALI[[#This Row],[ID NOTA]],[6]!NOTA[ID],0)))</f>
        <v/>
      </c>
      <c r="H39" s="3" t="str">
        <f>IF(ATALI[[#This Row],[ID NOTA]]="","",INDEX([6]!NOTA[TGL.NOTA],MATCH(ATALI[[#This Row],[ID NOTA]],[6]!NOTA[ID],0)))</f>
        <v/>
      </c>
      <c r="I39" s="4" t="str">
        <f>IF(ATALI[[#This Row],[ID NOTA]]="","",INDEX([6]!NOTA[NO.NOTA],MATCH(ATALI[[#This Row],[ID NOTA]],[6]!NOTA[ID],0)))</f>
        <v/>
      </c>
      <c r="J39" s="4" t="s">
        <v>136</v>
      </c>
      <c r="K39" s="6" t="str">
        <f ca="1">IF(ATALI[[#This Row],[//]]="","",IF(INDEX([6]!NOTA[C],ATALI[[#This Row],[//]]-2)="","",INDEX([6]!NOTA[C],ATALI[[#This Row],[//]]-2)))</f>
        <v/>
      </c>
      <c r="L39" s="6" t="str">
        <f ca="1">IF(ATALI[[#This Row],[//]]="","",INDEX([6]!NOTA[QTY],ATALI[[#This Row],[//]]-2))</f>
        <v/>
      </c>
      <c r="M39" s="6" t="str">
        <f ca="1">IF(ATALI[[#This Row],[//]]="","",INDEX([6]!NOTA[STN],ATALI[[#This Row],[//]]-2))</f>
        <v/>
      </c>
      <c r="N39" s="5" t="str">
        <f ca="1">IF(ATALI[[#This Row],[//]]="","",INDEX([6]!NOTA[HARGA SATUAN],ATALI[[#This Row],[//]]-2))</f>
        <v/>
      </c>
      <c r="O39" s="8" t="str">
        <f ca="1">IF(ATALI[[#This Row],[//]]="","",INDEX([6]!NOTA[DISC 1],ATALI[[#This Row],[//]]-2))</f>
        <v/>
      </c>
      <c r="P39" s="8" t="str">
        <f ca="1">IF(ATALI[[#This Row],[//]]="","",INDEX([6]!NOTA[DISC 2],ATALI[[#This Row],[//]]-2))</f>
        <v/>
      </c>
      <c r="Q39" s="5" t="str">
        <f ca="1">IF(ATALI[[#This Row],[//]]="","",INDEX([6]!NOTA[TOTAL],ATALI[[#This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4" t="str">
        <f ca="1">IF(ATALI[[#This Row],[//]]="","",INDEX([6]!NOTA[NAMA BARANG],ATALI[[#This Row],[//]]-2))</f>
        <v/>
      </c>
      <c r="V39" s="4" t="str">
        <f ca="1">LOWER(SUBSTITUTE(SUBSTITUTE(SUBSTITUTE(SUBSTITUTE(SUBSTITUTE(SUBSTITUTE(SUBSTITUTE(ATALI[[#This Row],[N.B.nota]]," ",""),"-",""),"(",""),")",""),".",""),",",""),"/",""))</f>
        <v/>
      </c>
      <c r="W39" s="4" t="s">
        <v>136</v>
      </c>
      <c r="X39" s="4" t="str">
        <f ca="1">IF(ATALI[[#This Row],[N.B.nota]]="","",ADDRESS(ROW(ATALI[QB]),COLUMN(ATALI[QB]))&amp;":"&amp;ADDRESS(ROW(),COLUMN(ATALI[QB])))</f>
        <v/>
      </c>
      <c r="Y39" s="14" t="str">
        <f ca="1">IF(ATALI[[#This Row],[//]]="","",HYPERLINK("[../DB.xlsx]DB!e"&amp;MATCH(ATALI[[#This Row],[concat]],[4]!db[NB NOTA_C],0)+1,"&gt;"))</f>
        <v/>
      </c>
    </row>
    <row r="40" spans="1:25" x14ac:dyDescent="0.25">
      <c r="A40" s="4" t="s">
        <v>61</v>
      </c>
      <c r="B40" s="6">
        <f ca="1">IF(ATALI[[#This Row],[N_ID]]="","",INDEX(Table1[ID],MATCH(ATALI[[#This Row],[N_ID]],Table1[N_ID],0)))</f>
        <v>75</v>
      </c>
      <c r="C40" s="6" t="str">
        <f ca="1">IF(ATALI[[#This Row],[ID NOTA]]="","",HYPERLINK("[NOTA_.xlsx]NOTA!e"&amp;INDEX([6]!PAJAK[//],MATCH(ATALI[[#This Row],[ID NOTA]],[6]!PAJAK[ID],0)),"&gt;") )</f>
        <v>&gt;</v>
      </c>
      <c r="D40" s="6">
        <f ca="1">IF(ATALI[[#This Row],[ID NOTA]]="","",INDEX(Table1[QB],MATCH(ATALI[[#This Row],[ID NOTA]],Table1[ID],0)))</f>
        <v>4</v>
      </c>
      <c r="E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371</v>
      </c>
      <c r="F40" s="6"/>
      <c r="G40" s="3">
        <f ca="1">IF(ATALI[[#This Row],[ID NOTA]]="","",INDEX([6]!NOTA[TGL_H],MATCH(ATALI[[#This Row],[ID NOTA]],[6]!NOTA[ID],0)))</f>
        <v>44756</v>
      </c>
      <c r="H40" s="3">
        <f ca="1">IF(ATALI[[#This Row],[ID NOTA]]="","",INDEX([6]!NOTA[TGL.NOTA],MATCH(ATALI[[#This Row],[ID NOTA]],[6]!NOTA[ID],0)))</f>
        <v>44753</v>
      </c>
      <c r="I40" s="4" t="str">
        <f ca="1">IF(ATALI[[#This Row],[ID NOTA]]="","",INDEX([6]!NOTA[NO.NOTA],MATCH(ATALI[[#This Row],[ID NOTA]],[6]!NOTA[ID],0)))</f>
        <v>SA220709739</v>
      </c>
      <c r="J40" s="4" t="s">
        <v>274</v>
      </c>
      <c r="K40" s="6">
        <f ca="1">IF(ATALI[[#This Row],[//]]="","",IF(INDEX([6]!NOTA[C],ATALI[[#This Row],[//]]-2)="","",INDEX([6]!NOTA[C],ATALI[[#This Row],[//]]-2)))</f>
        <v>3</v>
      </c>
      <c r="L40" s="6">
        <f ca="1">IF(ATALI[[#This Row],[//]]="","",INDEX([6]!NOTA[QTY],ATALI[[#This Row],[//]]-2))</f>
        <v>432</v>
      </c>
      <c r="M40" s="6" t="str">
        <f ca="1">IF(ATALI[[#This Row],[//]]="","",INDEX([6]!NOTA[STN],ATALI[[#This Row],[//]]-2))</f>
        <v>SET</v>
      </c>
      <c r="N40" s="5">
        <f ca="1">IF(ATALI[[#This Row],[//]]="","",INDEX([6]!NOTA[HARGA SATUAN],ATALI[[#This Row],[//]]-2))</f>
        <v>8400</v>
      </c>
      <c r="O40" s="8">
        <f ca="1">IF(ATALI[[#This Row],[//]]="","",INDEX([6]!NOTA[DISC 1],ATALI[[#This Row],[//]]-2))</f>
        <v>0.125</v>
      </c>
      <c r="P40" s="8">
        <f ca="1">IF(ATALI[[#This Row],[//]]="","",INDEX([6]!NOTA[DISC 2],ATALI[[#This Row],[//]]-2))</f>
        <v>0.05</v>
      </c>
      <c r="Q40" s="5">
        <f ca="1">IF(ATALI[[#This Row],[//]]="","",INDEX([6]!NOTA[TOTAL],ATALI[[#This Row],[//]]-2))</f>
        <v>3016440</v>
      </c>
      <c r="R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4" t="str">
        <f ca="1">IF(ATALI[[#This Row],[//]]="","",INDEX([6]!NOTA[NAMA BARANG],ATALI[[#This Row],[//]]-2))</f>
        <v>COLOR PENCIL CP-103 JK</v>
      </c>
      <c r="V40" s="4" t="str">
        <f ca="1">LOWER(SUBSTITUTE(SUBSTITUTE(SUBSTITUTE(SUBSTITUTE(SUBSTITUTE(SUBSTITUTE(SUBSTITUTE(ATALI[[#This Row],[N.B.nota]]," ",""),"-",""),"(",""),")",""),".",""),",",""),"/",""))</f>
        <v>colorpencilcp103jk</v>
      </c>
      <c r="W40" s="4" t="s">
        <v>137</v>
      </c>
      <c r="X40" s="4" t="str">
        <f ca="1">IF(ATALI[[#This Row],[N.B.nota]]="","",ADDRESS(ROW(ATALI[QB]),COLUMN(ATALI[QB]))&amp;":"&amp;ADDRESS(ROW(),COLUMN(ATALI[QB])))</f>
        <v>$D$3:$D$40</v>
      </c>
      <c r="Y40" s="14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6" t="str">
        <f>IF(ATALI[[#This Row],[N_ID]]="","",INDEX(Table1[ID],MATCH(ATALI[[#This Row],[N_ID]],Table1[N_ID],0)))</f>
        <v/>
      </c>
      <c r="C41" s="6" t="str">
        <f>IF(ATALI[[#This Row],[ID NOTA]]="","",HYPERLINK("[NOTA_.xlsx]NOTA!e"&amp;INDEX([6]!PAJAK[//],MATCH(ATALI[[#This Row],[ID NOTA]],[6]!PAJAK[ID],0)),"&gt;") )</f>
        <v/>
      </c>
      <c r="D41" s="6" t="str">
        <f>IF(ATALI[[#This Row],[ID NOTA]]="","",INDEX(Table1[QB],MATCH(ATALI[[#This Row],[ID NOTA]],Table1[ID],0)))</f>
        <v/>
      </c>
      <c r="E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372</v>
      </c>
      <c r="F41" s="6"/>
      <c r="G41" s="3" t="str">
        <f>IF(ATALI[[#This Row],[ID NOTA]]="","",INDEX([6]!NOTA[TGL_H],MATCH(ATALI[[#This Row],[ID NOTA]],[6]!NOTA[ID],0)))</f>
        <v/>
      </c>
      <c r="H41" s="3" t="str">
        <f>IF(ATALI[[#This Row],[ID NOTA]]="","",INDEX([6]!NOTA[TGL.NOTA],MATCH(ATALI[[#This Row],[ID NOTA]],[6]!NOTA[ID],0)))</f>
        <v/>
      </c>
      <c r="I41" s="4" t="str">
        <f>IF(ATALI[[#This Row],[ID NOTA]]="","",INDEX([6]!NOTA[NO.NOTA],MATCH(ATALI[[#This Row],[ID NOTA]],[6]!NOTA[ID],0)))</f>
        <v/>
      </c>
      <c r="J41" s="4" t="s">
        <v>275</v>
      </c>
      <c r="K41" s="6">
        <f ca="1">IF(ATALI[[#This Row],[//]]="","",IF(INDEX([6]!NOTA[C],ATALI[[#This Row],[//]]-2)="","",INDEX([6]!NOTA[C],ATALI[[#This Row],[//]]-2)))</f>
        <v>1</v>
      </c>
      <c r="L41" s="6">
        <f ca="1">IF(ATALI[[#This Row],[//]]="","",INDEX([6]!NOTA[QTY],ATALI[[#This Row],[//]]-2))</f>
        <v>72</v>
      </c>
      <c r="M41" s="6" t="str">
        <f ca="1">IF(ATALI[[#This Row],[//]]="","",INDEX([6]!NOTA[STN],ATALI[[#This Row],[//]]-2))</f>
        <v>SET</v>
      </c>
      <c r="N41" s="5">
        <f ca="1">IF(ATALI[[#This Row],[//]]="","",INDEX([6]!NOTA[HARGA SATUAN],ATALI[[#This Row],[//]]-2))</f>
        <v>16800</v>
      </c>
      <c r="O41" s="8">
        <f ca="1">IF(ATALI[[#This Row],[//]]="","",INDEX([6]!NOTA[DISC 1],ATALI[[#This Row],[//]]-2))</f>
        <v>0.125</v>
      </c>
      <c r="P41" s="8">
        <f ca="1">IF(ATALI[[#This Row],[//]]="","",INDEX([6]!NOTA[DISC 2],ATALI[[#This Row],[//]]-2))</f>
        <v>0.05</v>
      </c>
      <c r="Q41" s="5">
        <f ca="1">IF(ATALI[[#This Row],[//]]="","",INDEX([6]!NOTA[TOTAL],ATALI[[#This Row],[//]]-2))</f>
        <v>1005480</v>
      </c>
      <c r="R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4" t="str">
        <f ca="1">IF(ATALI[[#This Row],[//]]="","",INDEX([6]!NOTA[NAMA BARANG],ATALI[[#This Row],[//]]-2))</f>
        <v>COLOR PENCIL CP-104 JK</v>
      </c>
      <c r="V41" s="4" t="str">
        <f ca="1">LOWER(SUBSTITUTE(SUBSTITUTE(SUBSTITUTE(SUBSTITUTE(SUBSTITUTE(SUBSTITUTE(SUBSTITUTE(ATALI[[#This Row],[N.B.nota]]," ",""),"-",""),"(",""),")",""),".",""),",",""),"/",""))</f>
        <v>colorpencilcp104jk</v>
      </c>
      <c r="W41" s="4" t="s">
        <v>137</v>
      </c>
      <c r="X41" s="4" t="str">
        <f ca="1">IF(ATALI[[#This Row],[N.B.nota]]="","",ADDRESS(ROW(ATALI[QB]),COLUMN(ATALI[QB]))&amp;":"&amp;ADDRESS(ROW(),COLUMN(ATALI[QB])))</f>
        <v>$D$3:$D$41</v>
      </c>
      <c r="Y41" s="14" t="str">
        <f ca="1">IF(ATALI[[#This Row],[//]]="","",HYPERLINK("[../DB.xlsx]DB!e"&amp;MATCH(ATALI[[#This Row],[concat]],[4]!db[NB NOTA_C],0)+1,"&gt;"))</f>
        <v>&gt;</v>
      </c>
    </row>
    <row r="42" spans="1:25" x14ac:dyDescent="0.25">
      <c r="A42" s="4"/>
      <c r="B42" s="6" t="str">
        <f>IF(ATALI[[#This Row],[N_ID]]="","",INDEX(Table1[ID],MATCH(ATALI[[#This Row],[N_ID]],Table1[N_ID],0)))</f>
        <v/>
      </c>
      <c r="C42" s="6" t="str">
        <f>IF(ATALI[[#This Row],[ID NOTA]]="","",HYPERLINK("[NOTA_.xlsx]NOTA!e"&amp;INDEX([6]!PAJAK[//],MATCH(ATALI[[#This Row],[ID NOTA]],[6]!PAJAK[ID],0)),"&gt;") )</f>
        <v/>
      </c>
      <c r="D42" s="6" t="str">
        <f>IF(ATALI[[#This Row],[ID NOTA]]="","",INDEX(Table1[QB],MATCH(ATALI[[#This Row],[ID NOTA]],Table1[ID],0)))</f>
        <v/>
      </c>
      <c r="E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373</v>
      </c>
      <c r="F42" s="6"/>
      <c r="G42" s="3" t="str">
        <f>IF(ATALI[[#This Row],[ID NOTA]]="","",INDEX([6]!NOTA[TGL_H],MATCH(ATALI[[#This Row],[ID NOTA]],[6]!NOTA[ID],0)))</f>
        <v/>
      </c>
      <c r="H42" s="3" t="str">
        <f>IF(ATALI[[#This Row],[ID NOTA]]="","",INDEX([6]!NOTA[TGL.NOTA],MATCH(ATALI[[#This Row],[ID NOTA]],[6]!NOTA[ID],0)))</f>
        <v/>
      </c>
      <c r="I42" s="4" t="str">
        <f>IF(ATALI[[#This Row],[ID NOTA]]="","",INDEX([6]!NOTA[NO.NOTA],MATCH(ATALI[[#This Row],[ID NOTA]],[6]!NOTA[ID],0)))</f>
        <v/>
      </c>
      <c r="J42" s="4" t="s">
        <v>267</v>
      </c>
      <c r="K42" s="6">
        <f ca="1">IF(ATALI[[#This Row],[//]]="","",IF(INDEX([6]!NOTA[C],ATALI[[#This Row],[//]]-2)="","",INDEX([6]!NOTA[C],ATALI[[#This Row],[//]]-2)))</f>
        <v>2</v>
      </c>
      <c r="L42" s="6">
        <f ca="1">IF(ATALI[[#This Row],[//]]="","",INDEX([6]!NOTA[QTY],ATALI[[#This Row],[//]]-2))</f>
        <v>10</v>
      </c>
      <c r="M42" s="6" t="str">
        <f ca="1">IF(ATALI[[#This Row],[//]]="","",INDEX([6]!NOTA[STN],ATALI[[#This Row],[//]]-2))</f>
        <v>GRS</v>
      </c>
      <c r="N42" s="5">
        <f ca="1">IF(ATALI[[#This Row],[//]]="","",INDEX([6]!NOTA[HARGA SATUAN],ATALI[[#This Row],[//]]-2))</f>
        <v>177000</v>
      </c>
      <c r="O42" s="8">
        <f ca="1">IF(ATALI[[#This Row],[//]]="","",INDEX([6]!NOTA[DISC 1],ATALI[[#This Row],[//]]-2))</f>
        <v>0.125</v>
      </c>
      <c r="P42" s="8">
        <f ca="1">IF(ATALI[[#This Row],[//]]="","",INDEX([6]!NOTA[DISC 2],ATALI[[#This Row],[//]]-2))</f>
        <v>0.05</v>
      </c>
      <c r="Q42" s="5">
        <f ca="1">IF(ATALI[[#This Row],[//]]="","",INDEX([6]!NOTA[TOTAL],ATALI[[#This Row],[//]]-2))</f>
        <v>1471312.5</v>
      </c>
      <c r="R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4" t="str">
        <f ca="1">IF(ATALI[[#This Row],[//]]="","",INDEX([6]!NOTA[NAMA BARANG],ATALI[[#This Row],[//]]-2))</f>
        <v>BINDER CLIP 260 JK</v>
      </c>
      <c r="V42" s="4" t="str">
        <f ca="1">LOWER(SUBSTITUTE(SUBSTITUTE(SUBSTITUTE(SUBSTITUTE(SUBSTITUTE(SUBSTITUTE(SUBSTITUTE(ATALI[[#This Row],[N.B.nota]]," ",""),"-",""),"(",""),")",""),".",""),",",""),"/",""))</f>
        <v>binderclip260jk</v>
      </c>
      <c r="W42" s="4" t="s">
        <v>137</v>
      </c>
      <c r="X42" s="4" t="str">
        <f ca="1">IF(ATALI[[#This Row],[N.B.nota]]="","",ADDRESS(ROW(ATALI[QB]),COLUMN(ATALI[QB]))&amp;":"&amp;ADDRESS(ROW(),COLUMN(ATALI[QB])))</f>
        <v>$D$3:$D$42</v>
      </c>
      <c r="Y42" s="14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6" t="str">
        <f>IF(ATALI[[#This Row],[N_ID]]="","",INDEX(Table1[ID],MATCH(ATALI[[#This Row],[N_ID]],Table1[N_ID],0)))</f>
        <v/>
      </c>
      <c r="C43" s="6" t="str">
        <f>IF(ATALI[[#This Row],[ID NOTA]]="","",HYPERLINK("[NOTA_.xlsx]NOTA!e"&amp;INDEX([6]!PAJAK[//],MATCH(ATALI[[#This Row],[ID NOTA]],[6]!PAJAK[ID],0)),"&gt;") )</f>
        <v/>
      </c>
      <c r="D43" s="6" t="str">
        <f>IF(ATALI[[#This Row],[ID NOTA]]="","",INDEX(Table1[QB],MATCH(ATALI[[#This Row],[ID NOTA]],Table1[ID],0)))</f>
        <v/>
      </c>
      <c r="E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374</v>
      </c>
      <c r="F43" s="6"/>
      <c r="G43" s="3" t="str">
        <f>IF(ATALI[[#This Row],[ID NOTA]]="","",INDEX([6]!NOTA[TGL_H],MATCH(ATALI[[#This Row],[ID NOTA]],[6]!NOTA[ID],0)))</f>
        <v/>
      </c>
      <c r="H43" s="3" t="str">
        <f>IF(ATALI[[#This Row],[ID NOTA]]="","",INDEX([6]!NOTA[TGL.NOTA],MATCH(ATALI[[#This Row],[ID NOTA]],[6]!NOTA[ID],0)))</f>
        <v/>
      </c>
      <c r="I43" s="4" t="str">
        <f>IF(ATALI[[#This Row],[ID NOTA]]="","",INDEX([6]!NOTA[NO.NOTA],MATCH(ATALI[[#This Row],[ID NOTA]],[6]!NOTA[ID],0)))</f>
        <v/>
      </c>
      <c r="J43" s="4" t="s">
        <v>255</v>
      </c>
      <c r="K43" s="6" t="str">
        <f ca="1">IF(ATALI[[#This Row],[//]]="","",IF(INDEX([6]!NOTA[C],ATALI[[#This Row],[//]]-2)="","",INDEX([6]!NOTA[C],ATALI[[#This Row],[//]]-2)))</f>
        <v/>
      </c>
      <c r="L43" s="6">
        <f ca="1">IF(ATALI[[#This Row],[//]]="","",INDEX([6]!NOTA[QTY],ATALI[[#This Row],[//]]-2))</f>
        <v>12</v>
      </c>
      <c r="M43" s="6" t="str">
        <f ca="1">IF(ATALI[[#This Row],[//]]="","",INDEX([6]!NOTA[STN],ATALI[[#This Row],[//]]-2))</f>
        <v>DZ</v>
      </c>
      <c r="N43" s="5">
        <f ca="1">IF(ATALI[[#This Row],[//]]="","",INDEX([6]!NOTA[HARGA SATUAN],ATALI[[#This Row],[//]]-2))</f>
        <v>12600</v>
      </c>
      <c r="O43" s="8">
        <f ca="1">IF(ATALI[[#This Row],[//]]="","",INDEX([6]!NOTA[DISC 1],ATALI[[#This Row],[//]]-2))</f>
        <v>0.1</v>
      </c>
      <c r="P43" s="8">
        <f ca="1">IF(ATALI[[#This Row],[//]]="","",INDEX([6]!NOTA[DISC 2],ATALI[[#This Row],[//]]-2))</f>
        <v>0.05</v>
      </c>
      <c r="Q43" s="5">
        <f ca="1">IF(ATALI[[#This Row],[//]]="","",INDEX([6]!NOTA[TOTAL],ATALI[[#This Row],[//]]-2))</f>
        <v>129276</v>
      </c>
      <c r="R4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4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5493232.5</v>
      </c>
      <c r="T43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 BINDER CLIP NO.105 S/D 300 JK</v>
      </c>
      <c r="U43" s="4" t="str">
        <f ca="1">IF(ATALI[[#This Row],[//]]="","",INDEX([6]!NOTA[NAMA BARANG],ATALI[[#This Row],[//]]-2))</f>
        <v>BALLPEN BP-338 VOCUS (BLACK) JK</v>
      </c>
      <c r="V43" s="4" t="str">
        <f ca="1">LOWER(SUBSTITUTE(SUBSTITUTE(SUBSTITUTE(SUBSTITUTE(SUBSTITUTE(SUBSTITUTE(SUBSTITUTE(ATALI[[#This Row],[N.B.nota]]," ",""),"-",""),"(",""),")",""),".",""),",",""),"/",""))</f>
        <v>ballpenbp338vocusblackjk</v>
      </c>
      <c r="W43" s="4" t="s">
        <v>137</v>
      </c>
      <c r="X43" s="4" t="str">
        <f ca="1">IF(ATALI[[#This Row],[N.B.nota]]="","",ADDRESS(ROW(ATALI[QB]),COLUMN(ATALI[QB]))&amp;":"&amp;ADDRESS(ROW(),COLUMN(ATALI[QB])))</f>
        <v>$D$3:$D$43</v>
      </c>
      <c r="Y43" s="14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6" t="str">
        <f>IF(ATALI[[#This Row],[N_ID]]="","",INDEX(Table1[ID],MATCH(ATALI[[#This Row],[N_ID]],Table1[N_ID],0)))</f>
        <v/>
      </c>
      <c r="C44" s="6" t="str">
        <f>IF(ATALI[[#This Row],[ID NOTA]]="","",HYPERLINK("[NOTA_.xlsx]NOTA!e"&amp;INDEX([6]!PAJAK[//],MATCH(ATALI[[#This Row],[ID NOTA]],[6]!PAJAK[ID],0)),"&gt;") )</f>
        <v/>
      </c>
      <c r="D44" s="6" t="str">
        <f>IF(ATALI[[#This Row],[ID NOTA]]="","",INDEX(Table1[QB],MATCH(ATALI[[#This Row],[ID NOTA]],Table1[ID],0)))</f>
        <v/>
      </c>
      <c r="E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" s="6"/>
      <c r="G44" s="3" t="str">
        <f>IF(ATALI[[#This Row],[ID NOTA]]="","",INDEX([6]!NOTA[TGL_H],MATCH(ATALI[[#This Row],[ID NOTA]],[6]!NOTA[ID],0)))</f>
        <v/>
      </c>
      <c r="H44" s="3" t="str">
        <f>IF(ATALI[[#This Row],[ID NOTA]]="","",INDEX([6]!NOTA[TGL.NOTA],MATCH(ATALI[[#This Row],[ID NOTA]],[6]!NOTA[ID],0)))</f>
        <v/>
      </c>
      <c r="I44" s="4" t="str">
        <f>IF(ATALI[[#This Row],[ID NOTA]]="","",INDEX([6]!NOTA[NO.NOTA],MATCH(ATALI[[#This Row],[ID NOTA]],[6]!NOTA[ID],0)))</f>
        <v/>
      </c>
      <c r="J44" s="4" t="s">
        <v>136</v>
      </c>
      <c r="K44" s="6" t="str">
        <f ca="1">IF(ATALI[[#This Row],[//]]="","",IF(INDEX([6]!NOTA[C],ATALI[[#This Row],[//]]-2)="","",INDEX([6]!NOTA[C],ATALI[[#This Row],[//]]-2)))</f>
        <v/>
      </c>
      <c r="L44" s="6" t="str">
        <f ca="1">IF(ATALI[[#This Row],[//]]="","",INDEX([6]!NOTA[QTY],ATALI[[#This Row],[//]]-2))</f>
        <v/>
      </c>
      <c r="M44" s="6" t="str">
        <f ca="1">IF(ATALI[[#This Row],[//]]="","",INDEX([6]!NOTA[STN],ATALI[[#This Row],[//]]-2))</f>
        <v/>
      </c>
      <c r="N44" s="5" t="str">
        <f ca="1">IF(ATALI[[#This Row],[//]]="","",INDEX([6]!NOTA[HARGA SATUAN],ATALI[[#This Row],[//]]-2))</f>
        <v/>
      </c>
      <c r="O44" s="8" t="str">
        <f ca="1">IF(ATALI[[#This Row],[//]]="","",INDEX([6]!NOTA[DISC 1],ATALI[[#This Row],[//]]-2))</f>
        <v/>
      </c>
      <c r="P44" s="8" t="str">
        <f ca="1">IF(ATALI[[#This Row],[//]]="","",INDEX([6]!NOTA[DISC 2],ATALI[[#This Row],[//]]-2))</f>
        <v/>
      </c>
      <c r="Q44" s="5" t="str">
        <f ca="1">IF(ATALI[[#This Row],[//]]="","",INDEX([6]!NOTA[TOTAL],ATALI[[#This Row],[//]]-2))</f>
        <v/>
      </c>
      <c r="R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4" t="str">
        <f ca="1">IF(ATALI[[#This Row],[//]]="","",INDEX([6]!NOTA[NAMA BARANG],ATALI[[#This Row],[//]]-2))</f>
        <v/>
      </c>
      <c r="V44" s="4" t="str">
        <f ca="1">LOWER(SUBSTITUTE(SUBSTITUTE(SUBSTITUTE(SUBSTITUTE(SUBSTITUTE(SUBSTITUTE(SUBSTITUTE(ATALI[[#This Row],[N.B.nota]]," ",""),"-",""),"(",""),")",""),".",""),",",""),"/",""))</f>
        <v/>
      </c>
      <c r="W44" s="4" t="s">
        <v>136</v>
      </c>
      <c r="X44" s="4" t="str">
        <f ca="1">IF(ATALI[[#This Row],[N.B.nota]]="","",ADDRESS(ROW(ATALI[QB]),COLUMN(ATALI[QB]))&amp;":"&amp;ADDRESS(ROW(),COLUMN(ATALI[QB])))</f>
        <v/>
      </c>
      <c r="Y44" s="14" t="str">
        <f ca="1">IF(ATALI[[#This Row],[//]]="","",HYPERLINK("[../DB.xlsx]DB!e"&amp;MATCH(ATALI[[#This Row],[concat]],[4]!db[NB NOTA_C],0)+1,"&gt;"))</f>
        <v/>
      </c>
    </row>
    <row r="45" spans="1:25" x14ac:dyDescent="0.25">
      <c r="A45" s="4" t="s">
        <v>77</v>
      </c>
      <c r="B45" s="6">
        <f ca="1">IF(ATALI[[#This Row],[N_ID]]="","",INDEX(Table1[ID],MATCH(ATALI[[#This Row],[N_ID]],Table1[N_ID],0)))</f>
        <v>107</v>
      </c>
      <c r="C45" s="6" t="str">
        <f ca="1">IF(ATALI[[#This Row],[ID NOTA]]="","",HYPERLINK("[NOTA_.xlsx]NOTA!e"&amp;INDEX([6]!PAJAK[//],MATCH(ATALI[[#This Row],[ID NOTA]],[6]!PAJAK[ID],0)),"&gt;") )</f>
        <v>&gt;</v>
      </c>
      <c r="D45" s="6">
        <f ca="1">IF(ATALI[[#This Row],[ID NOTA]]="","",INDEX(Table1[QB],MATCH(ATALI[[#This Row],[ID NOTA]],Table1[ID],0)))</f>
        <v>8</v>
      </c>
      <c r="E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553</v>
      </c>
      <c r="F45" s="6"/>
      <c r="G45" s="3">
        <f ca="1">IF(ATALI[[#This Row],[ID NOTA]]="","",INDEX([6]!NOTA[TGL_H],MATCH(ATALI[[#This Row],[ID NOTA]],[6]!NOTA[ID],0)))</f>
        <v>44760</v>
      </c>
      <c r="H45" s="3">
        <f ca="1">IF(ATALI[[#This Row],[ID NOTA]]="","",INDEX([6]!NOTA[TGL.NOTA],MATCH(ATALI[[#This Row],[ID NOTA]],[6]!NOTA[ID],0)))</f>
        <v>44754</v>
      </c>
      <c r="I45" s="4" t="str">
        <f ca="1">IF(ATALI[[#This Row],[ID NOTA]]="","",INDEX([6]!NOTA[NO.NOTA],MATCH(ATALI[[#This Row],[ID NOTA]],[6]!NOTA[ID],0)))</f>
        <v>SA220709806</v>
      </c>
      <c r="J45" s="4" t="s">
        <v>276</v>
      </c>
      <c r="K45" s="6">
        <f ca="1">IF(ATALI[[#This Row],[//]]="","",IF(INDEX([6]!NOTA[C],ATALI[[#This Row],[//]]-2)="","",INDEX([6]!NOTA[C],ATALI[[#This Row],[//]]-2)))</f>
        <v>1</v>
      </c>
      <c r="L45" s="6">
        <f ca="1">IF(ATALI[[#This Row],[//]]="","",INDEX([6]!NOTA[QTY],ATALI[[#This Row],[//]]-2))</f>
        <v>500</v>
      </c>
      <c r="M45" s="6" t="str">
        <f ca="1">IF(ATALI[[#This Row],[//]]="","",INDEX([6]!NOTA[STN],ATALI[[#This Row],[//]]-2))</f>
        <v>ROL</v>
      </c>
      <c r="N45" s="5">
        <f ca="1">IF(ATALI[[#This Row],[//]]="","",INDEX([6]!NOTA[HARGA SATUAN],ATALI[[#This Row],[//]]-2))</f>
        <v>4200</v>
      </c>
      <c r="O45" s="8">
        <f ca="1">IF(ATALI[[#This Row],[//]]="","",INDEX([6]!NOTA[DISC 1],ATALI[[#This Row],[//]]-2))</f>
        <v>0.125</v>
      </c>
      <c r="P45" s="8">
        <f ca="1">IF(ATALI[[#This Row],[//]]="","",INDEX([6]!NOTA[DISC 2],ATALI[[#This Row],[//]]-2))</f>
        <v>0.05</v>
      </c>
      <c r="Q45" s="5">
        <f ca="1">IF(ATALI[[#This Row],[//]]="","",INDEX([6]!NOTA[TOTAL],ATALI[[#This Row],[//]]-2))</f>
        <v>1745625</v>
      </c>
      <c r="R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4" t="str">
        <f ca="1">IF(ATALI[[#This Row],[//]]="","",INDEX([6]!NOTA[NAMA BARANG],ATALI[[#This Row],[//]]-2))</f>
        <v>LABEL LB-P2CY (2 BARIS, YELLOW) JK</v>
      </c>
      <c r="V45" s="4" t="str">
        <f ca="1">LOWER(SUBSTITUTE(SUBSTITUTE(SUBSTITUTE(SUBSTITUTE(SUBSTITUTE(SUBSTITUTE(SUBSTITUTE(ATALI[[#This Row],[N.B.nota]]," ",""),"-",""),"(",""),")",""),".",""),",",""),"/",""))</f>
        <v>labellbp2cy2barisyellowjk</v>
      </c>
      <c r="W45" s="4" t="s">
        <v>137</v>
      </c>
      <c r="X45" s="4" t="str">
        <f ca="1">IF(ATALI[[#This Row],[N.B.nota]]="","",ADDRESS(ROW(ATALI[QB]),COLUMN(ATALI[QB]))&amp;":"&amp;ADDRESS(ROW(),COLUMN(ATALI[QB])))</f>
        <v>$D$3:$D$45</v>
      </c>
      <c r="Y45" s="14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6" t="str">
        <f>IF(ATALI[[#This Row],[N_ID]]="","",INDEX(Table1[ID],MATCH(ATALI[[#This Row],[N_ID]],Table1[N_ID],0)))</f>
        <v/>
      </c>
      <c r="C46" s="6" t="str">
        <f>IF(ATALI[[#This Row],[ID NOTA]]="","",HYPERLINK("[NOTA_.xlsx]NOTA!e"&amp;INDEX([6]!PAJAK[//],MATCH(ATALI[[#This Row],[ID NOTA]],[6]!PAJAK[ID],0)),"&gt;") )</f>
        <v/>
      </c>
      <c r="D46" s="6" t="str">
        <f>IF(ATALI[[#This Row],[ID NOTA]]="","",INDEX(Table1[QB],MATCH(ATALI[[#This Row],[ID NOTA]],Table1[ID],0)))</f>
        <v/>
      </c>
      <c r="E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554</v>
      </c>
      <c r="F46" s="6"/>
      <c r="G46" s="3" t="str">
        <f>IF(ATALI[[#This Row],[ID NOTA]]="","",INDEX([6]!NOTA[TGL_H],MATCH(ATALI[[#This Row],[ID NOTA]],[6]!NOTA[ID],0)))</f>
        <v/>
      </c>
      <c r="H46" s="3" t="str">
        <f>IF(ATALI[[#This Row],[ID NOTA]]="","",INDEX([6]!NOTA[TGL.NOTA],MATCH(ATALI[[#This Row],[ID NOTA]],[6]!NOTA[ID],0)))</f>
        <v/>
      </c>
      <c r="I46" s="4" t="str">
        <f>IF(ATALI[[#This Row],[ID NOTA]]="","",INDEX([6]!NOTA[NO.NOTA],MATCH(ATALI[[#This Row],[ID NOTA]],[6]!NOTA[ID],0)))</f>
        <v/>
      </c>
      <c r="J46" s="4" t="s">
        <v>277</v>
      </c>
      <c r="K46" s="6">
        <f ca="1">IF(ATALI[[#This Row],[//]]="","",IF(INDEX([6]!NOTA[C],ATALI[[#This Row],[//]]-2)="","",INDEX([6]!NOTA[C],ATALI[[#This Row],[//]]-2)))</f>
        <v>5</v>
      </c>
      <c r="L46" s="6">
        <f ca="1">IF(ATALI[[#This Row],[//]]="","",INDEX([6]!NOTA[QTY],ATALI[[#This Row],[//]]-2))</f>
        <v>5000</v>
      </c>
      <c r="M46" s="6" t="str">
        <f ca="1">IF(ATALI[[#This Row],[//]]="","",INDEX([6]!NOTA[STN],ATALI[[#This Row],[//]]-2))</f>
        <v>ROL</v>
      </c>
      <c r="N46" s="5">
        <f ca="1">IF(ATALI[[#This Row],[//]]="","",INDEX([6]!NOTA[HARGA SATUAN],ATALI[[#This Row],[//]]-2))</f>
        <v>2050</v>
      </c>
      <c r="O46" s="8">
        <f ca="1">IF(ATALI[[#This Row],[//]]="","",INDEX([6]!NOTA[DISC 1],ATALI[[#This Row],[//]]-2))</f>
        <v>0.125</v>
      </c>
      <c r="P46" s="8">
        <f ca="1">IF(ATALI[[#This Row],[//]]="","",INDEX([6]!NOTA[DISC 2],ATALI[[#This Row],[//]]-2))</f>
        <v>0.05</v>
      </c>
      <c r="Q46" s="5">
        <f ca="1">IF(ATALI[[#This Row],[//]]="","",INDEX([6]!NOTA[TOTAL],ATALI[[#This Row],[//]]-2))</f>
        <v>8520312.5</v>
      </c>
      <c r="R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4" t="str">
        <f ca="1">IF(ATALI[[#This Row],[//]]="","",INDEX([6]!NOTA[NAMA BARANG],ATALI[[#This Row],[//]]-2))</f>
        <v>LABEL LB-2RL (1 BARIS) JK</v>
      </c>
      <c r="V46" s="4" t="str">
        <f ca="1">LOWER(SUBSTITUTE(SUBSTITUTE(SUBSTITUTE(SUBSTITUTE(SUBSTITUTE(SUBSTITUTE(SUBSTITUTE(ATALI[[#This Row],[N.B.nota]]," ",""),"-",""),"(",""),")",""),".",""),",",""),"/",""))</f>
        <v>labellb2rl1barisjk</v>
      </c>
      <c r="W46" s="4" t="s">
        <v>137</v>
      </c>
      <c r="X46" s="4" t="str">
        <f ca="1">IF(ATALI[[#This Row],[N.B.nota]]="","",ADDRESS(ROW(ATALI[QB]),COLUMN(ATALI[QB]))&amp;":"&amp;ADDRESS(ROW(),COLUMN(ATALI[QB])))</f>
        <v>$D$3:$D$46</v>
      </c>
      <c r="Y46" s="14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6" t="str">
        <f>IF(ATALI[[#This Row],[N_ID]]="","",INDEX(Table1[ID],MATCH(ATALI[[#This Row],[N_ID]],Table1[N_ID],0)))</f>
        <v/>
      </c>
      <c r="C47" s="6" t="str">
        <f>IF(ATALI[[#This Row],[ID NOTA]]="","",HYPERLINK("[NOTA_.xlsx]NOTA!e"&amp;INDEX([6]!PAJAK[//],MATCH(ATALI[[#This Row],[ID NOTA]],[6]!PAJAK[ID],0)),"&gt;") )</f>
        <v/>
      </c>
      <c r="D47" s="6" t="str">
        <f>IF(ATALI[[#This Row],[ID NOTA]]="","",INDEX(Table1[QB],MATCH(ATALI[[#This Row],[ID NOTA]],Table1[ID],0)))</f>
        <v/>
      </c>
      <c r="E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555</v>
      </c>
      <c r="F47" s="6"/>
      <c r="G47" s="3" t="str">
        <f>IF(ATALI[[#This Row],[ID NOTA]]="","",INDEX([6]!NOTA[TGL_H],MATCH(ATALI[[#This Row],[ID NOTA]],[6]!NOTA[ID],0)))</f>
        <v/>
      </c>
      <c r="H47" s="3" t="str">
        <f>IF(ATALI[[#This Row],[ID NOTA]]="","",INDEX([6]!NOTA[TGL.NOTA],MATCH(ATALI[[#This Row],[ID NOTA]],[6]!NOTA[ID],0)))</f>
        <v/>
      </c>
      <c r="I47" s="4" t="str">
        <f>IF(ATALI[[#This Row],[ID NOTA]]="","",INDEX([6]!NOTA[NO.NOTA],MATCH(ATALI[[#This Row],[ID NOTA]],[6]!NOTA[ID],0)))</f>
        <v/>
      </c>
      <c r="J47" s="4" t="s">
        <v>278</v>
      </c>
      <c r="K47" s="6">
        <f ca="1">IF(ATALI[[#This Row],[//]]="","",IF(INDEX([6]!NOTA[C],ATALI[[#This Row],[//]]-2)="","",INDEX([6]!NOTA[C],ATALI[[#This Row],[//]]-2)))</f>
        <v>5</v>
      </c>
      <c r="L47" s="6">
        <f ca="1">IF(ATALI[[#This Row],[//]]="","",INDEX([6]!NOTA[QTY],ATALI[[#This Row],[//]]-2))</f>
        <v>720</v>
      </c>
      <c r="M47" s="6" t="str">
        <f ca="1">IF(ATALI[[#This Row],[//]]="","",INDEX([6]!NOTA[STN],ATALI[[#This Row],[//]]-2))</f>
        <v>SET</v>
      </c>
      <c r="N47" s="5">
        <f ca="1">IF(ATALI[[#This Row],[//]]="","",INDEX([6]!NOTA[HARGA SATUAN],ATALI[[#This Row],[//]]-2))</f>
        <v>9600</v>
      </c>
      <c r="O47" s="8">
        <f ca="1">IF(ATALI[[#This Row],[//]]="","",INDEX([6]!NOTA[DISC 1],ATALI[[#This Row],[//]]-2))</f>
        <v>0.125</v>
      </c>
      <c r="P47" s="8">
        <f ca="1">IF(ATALI[[#This Row],[//]]="","",INDEX([6]!NOTA[DISC 2],ATALI[[#This Row],[//]]-2))</f>
        <v>0.05</v>
      </c>
      <c r="Q47" s="5">
        <f ca="1">IF(ATALI[[#This Row],[//]]="","",INDEX([6]!NOTA[TOTAL],ATALI[[#This Row],[//]]-2))</f>
        <v>5745600</v>
      </c>
      <c r="R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4" t="str">
        <f ca="1">IF(ATALI[[#This Row],[//]]="","",INDEX([6]!NOTA[NAMA BARANG],ATALI[[#This Row],[//]]-2))</f>
        <v>COLOR PENCIL CP-100 (12C) JK</v>
      </c>
      <c r="V47" s="4" t="str">
        <f ca="1">LOWER(SUBSTITUTE(SUBSTITUTE(SUBSTITUTE(SUBSTITUTE(SUBSTITUTE(SUBSTITUTE(SUBSTITUTE(ATALI[[#This Row],[N.B.nota]]," ",""),"-",""),"(",""),")",""),".",""),",",""),"/",""))</f>
        <v>colorpencilcp10012cjk</v>
      </c>
      <c r="W47" s="4" t="s">
        <v>137</v>
      </c>
      <c r="X47" s="4" t="str">
        <f ca="1">IF(ATALI[[#This Row],[N.B.nota]]="","",ADDRESS(ROW(ATALI[QB]),COLUMN(ATALI[QB]))&amp;":"&amp;ADDRESS(ROW(),COLUMN(ATALI[QB])))</f>
        <v>$D$3:$D$47</v>
      </c>
      <c r="Y47" s="14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6" t="str">
        <f>IF(ATALI[[#This Row],[N_ID]]="","",INDEX(Table1[ID],MATCH(ATALI[[#This Row],[N_ID]],Table1[N_ID],0)))</f>
        <v/>
      </c>
      <c r="C48" s="6" t="str">
        <f>IF(ATALI[[#This Row],[ID NOTA]]="","",HYPERLINK("[NOTA_.xlsx]NOTA!e"&amp;INDEX([6]!PAJAK[//],MATCH(ATALI[[#This Row],[ID NOTA]],[6]!PAJAK[ID],0)),"&gt;") )</f>
        <v/>
      </c>
      <c r="D48" s="6" t="str">
        <f>IF(ATALI[[#This Row],[ID NOTA]]="","",INDEX(Table1[QB],MATCH(ATALI[[#This Row],[ID NOTA]],Table1[ID],0)))</f>
        <v/>
      </c>
      <c r="E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556</v>
      </c>
      <c r="F48" s="6"/>
      <c r="G48" s="3" t="str">
        <f>IF(ATALI[[#This Row],[ID NOTA]]="","",INDEX([6]!NOTA[TGL_H],MATCH(ATALI[[#This Row],[ID NOTA]],[6]!NOTA[ID],0)))</f>
        <v/>
      </c>
      <c r="H48" s="3" t="str">
        <f>IF(ATALI[[#This Row],[ID NOTA]]="","",INDEX([6]!NOTA[TGL.NOTA],MATCH(ATALI[[#This Row],[ID NOTA]],[6]!NOTA[ID],0)))</f>
        <v/>
      </c>
      <c r="I48" s="4" t="str">
        <f>IF(ATALI[[#This Row],[ID NOTA]]="","",INDEX([6]!NOTA[NO.NOTA],MATCH(ATALI[[#This Row],[ID NOTA]],[6]!NOTA[ID],0)))</f>
        <v/>
      </c>
      <c r="J48" s="4" t="s">
        <v>260</v>
      </c>
      <c r="K48" s="6">
        <f ca="1">IF(ATALI[[#This Row],[//]]="","",IF(INDEX([6]!NOTA[C],ATALI[[#This Row],[//]]-2)="","",INDEX([6]!NOTA[C],ATALI[[#This Row],[//]]-2)))</f>
        <v>2</v>
      </c>
      <c r="L48" s="6">
        <f ca="1">IF(ATALI[[#This Row],[//]]="","",INDEX([6]!NOTA[QTY],ATALI[[#This Row],[//]]-2))</f>
        <v>144</v>
      </c>
      <c r="M48" s="6" t="str">
        <f ca="1">IF(ATALI[[#This Row],[//]]="","",INDEX([6]!NOTA[STN],ATALI[[#This Row],[//]]-2))</f>
        <v>SET</v>
      </c>
      <c r="N48" s="5">
        <f ca="1">IF(ATALI[[#This Row],[//]]="","",INDEX([6]!NOTA[HARGA SATUAN],ATALI[[#This Row],[//]]-2))</f>
        <v>19200</v>
      </c>
      <c r="O48" s="8">
        <f ca="1">IF(ATALI[[#This Row],[//]]="","",INDEX([6]!NOTA[DISC 1],ATALI[[#This Row],[//]]-2))</f>
        <v>0.125</v>
      </c>
      <c r="P48" s="8">
        <f ca="1">IF(ATALI[[#This Row],[//]]="","",INDEX([6]!NOTA[DISC 2],ATALI[[#This Row],[//]]-2))</f>
        <v>0.05</v>
      </c>
      <c r="Q48" s="5">
        <f ca="1">IF(ATALI[[#This Row],[//]]="","",INDEX([6]!NOTA[TOTAL],ATALI[[#This Row],[//]]-2))</f>
        <v>2298240</v>
      </c>
      <c r="R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4" t="str">
        <f ca="1">IF(ATALI[[#This Row],[//]]="","",INDEX([6]!NOTA[NAMA BARANG],ATALI[[#This Row],[//]]-2))</f>
        <v>COLOR PENCIL CP-101 (24C) JK</v>
      </c>
      <c r="V48" s="4" t="str">
        <f ca="1">LOWER(SUBSTITUTE(SUBSTITUTE(SUBSTITUTE(SUBSTITUTE(SUBSTITUTE(SUBSTITUTE(SUBSTITUTE(ATALI[[#This Row],[N.B.nota]]," ",""),"-",""),"(",""),")",""),".",""),",",""),"/",""))</f>
        <v>colorpencilcp10124cjk</v>
      </c>
      <c r="W48" s="4" t="s">
        <v>137</v>
      </c>
      <c r="X48" s="4" t="str">
        <f ca="1">IF(ATALI[[#This Row],[N.B.nota]]="","",ADDRESS(ROW(ATALI[QB]),COLUMN(ATALI[QB]))&amp;":"&amp;ADDRESS(ROW(),COLUMN(ATALI[QB])))</f>
        <v>$D$3:$D$48</v>
      </c>
      <c r="Y48" s="14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NOTA]]="","",HYPERLINK("[NOTA_.xlsx]NOTA!e"&amp;INDEX([6]!PAJAK[//],MATCH(ATALI[[#This Row],[ID NOTA]],[6]!PAJAK[ID],0)),"&gt;") )</f>
        <v/>
      </c>
      <c r="D49" s="6" t="str">
        <f>IF(ATALI[[#This Row],[ID NOTA]]="","",INDEX(Table1[QB],MATCH(ATALI[[#This Row],[ID NOTA]],Table1[ID],0)))</f>
        <v/>
      </c>
      <c r="E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557</v>
      </c>
      <c r="F49" s="6"/>
      <c r="G49" s="3" t="str">
        <f>IF(ATALI[[#This Row],[ID NOTA]]="","",INDEX([6]!NOTA[TGL_H],MATCH(ATALI[[#This Row],[ID NOTA]],[6]!NOTA[ID],0)))</f>
        <v/>
      </c>
      <c r="H49" s="3" t="str">
        <f>IF(ATALI[[#This Row],[ID NOTA]]="","",INDEX([6]!NOTA[TGL.NOTA],MATCH(ATALI[[#This Row],[ID NOTA]],[6]!NOTA[ID],0)))</f>
        <v/>
      </c>
      <c r="I49" s="4" t="str">
        <f>IF(ATALI[[#This Row],[ID NOTA]]="","",INDEX([6]!NOTA[NO.NOTA],MATCH(ATALI[[#This Row],[ID NOTA]],[6]!NOTA[ID],0)))</f>
        <v/>
      </c>
      <c r="J49" s="4" t="s">
        <v>257</v>
      </c>
      <c r="K49" s="6">
        <f ca="1">IF(ATALI[[#This Row],[//]]="","",IF(INDEX([6]!NOTA[C],ATALI[[#This Row],[//]]-2)="","",INDEX([6]!NOTA[C],ATALI[[#This Row],[//]]-2)))</f>
        <v>4</v>
      </c>
      <c r="L49" s="6">
        <f ca="1">IF(ATALI[[#This Row],[//]]="","",INDEX([6]!NOTA[QTY],ATALI[[#This Row],[//]]-2))</f>
        <v>576</v>
      </c>
      <c r="M49" s="6" t="str">
        <f ca="1">IF(ATALI[[#This Row],[//]]="","",INDEX([6]!NOTA[STN],ATALI[[#This Row],[//]]-2))</f>
        <v>PCS</v>
      </c>
      <c r="N49" s="5">
        <f ca="1">IF(ATALI[[#This Row],[//]]="","",INDEX([6]!NOTA[HARGA SATUAN],ATALI[[#This Row],[//]]-2))</f>
        <v>6300</v>
      </c>
      <c r="O49" s="8">
        <f ca="1">IF(ATALI[[#This Row],[//]]="","",INDEX([6]!NOTA[DISC 1],ATALI[[#This Row],[//]]-2))</f>
        <v>0.125</v>
      </c>
      <c r="P49" s="8">
        <f ca="1">IF(ATALI[[#This Row],[//]]="","",INDEX([6]!NOTA[DISC 2],ATALI[[#This Row],[//]]-2))</f>
        <v>0.05</v>
      </c>
      <c r="Q49" s="5">
        <f ca="1">IF(ATALI[[#This Row],[//]]="","",INDEX([6]!NOTA[TOTAL],ATALI[[#This Row],[//]]-2))</f>
        <v>3016440</v>
      </c>
      <c r="R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4" t="str">
        <f ca="1">IF(ATALI[[#This Row],[//]]="","",INDEX([6]!NOTA[NAMA BARANG],ATALI[[#This Row],[//]]-2))</f>
        <v>SCISSOR SC-838 JK</v>
      </c>
      <c r="V49" s="4" t="str">
        <f ca="1">LOWER(SUBSTITUTE(SUBSTITUTE(SUBSTITUTE(SUBSTITUTE(SUBSTITUTE(SUBSTITUTE(SUBSTITUTE(ATALI[[#This Row],[N.B.nota]]," ",""),"-",""),"(",""),")",""),".",""),",",""),"/",""))</f>
        <v>scissorsc838jk</v>
      </c>
      <c r="W49" s="4" t="s">
        <v>137</v>
      </c>
      <c r="X49" s="4" t="str">
        <f ca="1">IF(ATALI[[#This Row],[N.B.nota]]="","",ADDRESS(ROW(ATALI[QB]),COLUMN(ATALI[QB]))&amp;":"&amp;ADDRESS(ROW(),COLUMN(ATALI[QB])))</f>
        <v>$D$3:$D$49</v>
      </c>
      <c r="Y49" s="14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NOTA]]="","",HYPERLINK("[NOTA_.xlsx]NOTA!e"&amp;INDEX([6]!PAJAK[//],MATCH(ATALI[[#This Row],[ID NOTA]],[6]!PAJAK[ID],0)),"&gt;") )</f>
        <v/>
      </c>
      <c r="D50" s="6" t="str">
        <f>IF(ATALI[[#This Row],[ID NOTA]]="","",INDEX(Table1[QB],MATCH(ATALI[[#This Row],[ID NOTA]],Table1[ID],0)))</f>
        <v/>
      </c>
      <c r="E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558</v>
      </c>
      <c r="F50" s="6"/>
      <c r="G50" s="3" t="str">
        <f>IF(ATALI[[#This Row],[ID NOTA]]="","",INDEX([6]!NOTA[TGL_H],MATCH(ATALI[[#This Row],[ID NOTA]],[6]!NOTA[ID],0)))</f>
        <v/>
      </c>
      <c r="H50" s="3" t="str">
        <f>IF(ATALI[[#This Row],[ID NOTA]]="","",INDEX([6]!NOTA[TGL.NOTA],MATCH(ATALI[[#This Row],[ID NOTA]],[6]!NOTA[ID],0)))</f>
        <v/>
      </c>
      <c r="I50" s="4" t="str">
        <f>IF(ATALI[[#This Row],[ID NOTA]]="","",INDEX([6]!NOTA[NO.NOTA],MATCH(ATALI[[#This Row],[ID NOTA]],[6]!NOTA[ID],0)))</f>
        <v/>
      </c>
      <c r="J50" s="4" t="s">
        <v>279</v>
      </c>
      <c r="K50" s="6">
        <f ca="1">IF(ATALI[[#This Row],[//]]="","",IF(INDEX([6]!NOTA[C],ATALI[[#This Row],[//]]-2)="","",INDEX([6]!NOTA[C],ATALI[[#This Row],[//]]-2)))</f>
        <v>2</v>
      </c>
      <c r="L50" s="6">
        <f ca="1">IF(ATALI[[#This Row],[//]]="","",INDEX([6]!NOTA[QTY],ATALI[[#This Row],[//]]-2))</f>
        <v>1000</v>
      </c>
      <c r="M50" s="6" t="str">
        <f ca="1">IF(ATALI[[#This Row],[//]]="","",INDEX([6]!NOTA[STN],ATALI[[#This Row],[//]]-2))</f>
        <v>BOX</v>
      </c>
      <c r="N50" s="5">
        <f ca="1">IF(ATALI[[#This Row],[//]]="","",INDEX([6]!NOTA[HARGA SATUAN],ATALI[[#This Row],[//]]-2))</f>
        <v>1625</v>
      </c>
      <c r="O50" s="8">
        <f ca="1">IF(ATALI[[#This Row],[//]]="","",INDEX([6]!NOTA[DISC 1],ATALI[[#This Row],[//]]-2))</f>
        <v>0.125</v>
      </c>
      <c r="P50" s="8">
        <f ca="1">IF(ATALI[[#This Row],[//]]="","",INDEX([6]!NOTA[DISC 2],ATALI[[#This Row],[//]]-2))</f>
        <v>0.05</v>
      </c>
      <c r="Q50" s="5">
        <f ca="1">IF(ATALI[[#This Row],[//]]="","",INDEX([6]!NOTA[TOTAL],ATALI[[#This Row],[//]]-2))</f>
        <v>1350781.25</v>
      </c>
      <c r="R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4" t="str">
        <f ca="1">IF(ATALI[[#This Row],[//]]="","",INDEX([6]!NOTA[NAMA BARANG],ATALI[[#This Row],[//]]-2))</f>
        <v>TRIGONAL CLIP NO.3 JK</v>
      </c>
      <c r="V50" s="4" t="str">
        <f ca="1">LOWER(SUBSTITUTE(SUBSTITUTE(SUBSTITUTE(SUBSTITUTE(SUBSTITUTE(SUBSTITUTE(SUBSTITUTE(ATALI[[#This Row],[N.B.nota]]," ",""),"-",""),"(",""),")",""),".",""),",",""),"/",""))</f>
        <v>trigonalclipno3jk</v>
      </c>
      <c r="W50" s="4" t="s">
        <v>137</v>
      </c>
      <c r="X50" s="4" t="str">
        <f ca="1">IF(ATALI[[#This Row],[N.B.nota]]="","",ADDRESS(ROW(ATALI[QB]),COLUMN(ATALI[QB]))&amp;":"&amp;ADDRESS(ROW(),COLUMN(ATALI[QB])))</f>
        <v>$D$3:$D$50</v>
      </c>
      <c r="Y50" s="14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NOTA]]="","",HYPERLINK("[NOTA_.xlsx]NOTA!e"&amp;INDEX([6]!PAJAK[//],MATCH(ATALI[[#This Row],[ID NOTA]],[6]!PAJAK[ID],0)),"&gt;") )</f>
        <v/>
      </c>
      <c r="D51" s="6" t="str">
        <f>IF(ATALI[[#This Row],[ID NOTA]]="","",INDEX(Table1[QB],MATCH(ATALI[[#This Row],[ID NOTA]],Table1[ID],0)))</f>
        <v/>
      </c>
      <c r="E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559</v>
      </c>
      <c r="F51" s="6"/>
      <c r="G51" s="3" t="str">
        <f>IF(ATALI[[#This Row],[ID NOTA]]="","",INDEX([6]!NOTA[TGL_H],MATCH(ATALI[[#This Row],[ID NOTA]],[6]!NOTA[ID],0)))</f>
        <v/>
      </c>
      <c r="H51" s="3" t="str">
        <f>IF(ATALI[[#This Row],[ID NOTA]]="","",INDEX([6]!NOTA[TGL.NOTA],MATCH(ATALI[[#This Row],[ID NOTA]],[6]!NOTA[ID],0)))</f>
        <v/>
      </c>
      <c r="I51" s="4" t="str">
        <f>IF(ATALI[[#This Row],[ID NOTA]]="","",INDEX([6]!NOTA[NO.NOTA],MATCH(ATALI[[#This Row],[ID NOTA]],[6]!NOTA[ID],0)))</f>
        <v/>
      </c>
      <c r="J51" s="4" t="s">
        <v>280</v>
      </c>
      <c r="K51" s="6">
        <f ca="1">IF(ATALI[[#This Row],[//]]="","",IF(INDEX([6]!NOTA[C],ATALI[[#This Row],[//]]-2)="","",INDEX([6]!NOTA[C],ATALI[[#This Row],[//]]-2)))</f>
        <v>1</v>
      </c>
      <c r="L51" s="6">
        <f ca="1">IF(ATALI[[#This Row],[//]]="","",INDEX([6]!NOTA[QTY],ATALI[[#This Row],[//]]-2))</f>
        <v>200</v>
      </c>
      <c r="M51" s="6" t="str">
        <f ca="1">IF(ATALI[[#This Row],[//]]="","",INDEX([6]!NOTA[STN],ATALI[[#This Row],[//]]-2))</f>
        <v>BOX</v>
      </c>
      <c r="N51" s="5">
        <f ca="1">IF(ATALI[[#This Row],[//]]="","",INDEX([6]!NOTA[HARGA SATUAN],ATALI[[#This Row],[//]]-2))</f>
        <v>4400</v>
      </c>
      <c r="O51" s="8">
        <f ca="1">IF(ATALI[[#This Row],[//]]="","",INDEX([6]!NOTA[DISC 1],ATALI[[#This Row],[//]]-2))</f>
        <v>0.125</v>
      </c>
      <c r="P51" s="8">
        <f ca="1">IF(ATALI[[#This Row],[//]]="","",INDEX([6]!NOTA[DISC 2],ATALI[[#This Row],[//]]-2))</f>
        <v>0.05</v>
      </c>
      <c r="Q51" s="5">
        <f ca="1">IF(ATALI[[#This Row],[//]]="","",INDEX([6]!NOTA[TOTAL],ATALI[[#This Row],[//]]-2))</f>
        <v>731500</v>
      </c>
      <c r="R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4" t="str">
        <f ca="1">IF(ATALI[[#This Row],[//]]="","",INDEX([6]!NOTA[NAMA BARANG],ATALI[[#This Row],[//]]-2))</f>
        <v>PAPER CLIP JUMBO NO.5 JK</v>
      </c>
      <c r="V51" s="4" t="str">
        <f ca="1">LOWER(SUBSTITUTE(SUBSTITUTE(SUBSTITUTE(SUBSTITUTE(SUBSTITUTE(SUBSTITUTE(SUBSTITUTE(ATALI[[#This Row],[N.B.nota]]," ",""),"-",""),"(",""),")",""),".",""),",",""),"/",""))</f>
        <v>paperclipjumbono5jk</v>
      </c>
      <c r="W51" s="4" t="s">
        <v>137</v>
      </c>
      <c r="X51" s="4" t="str">
        <f ca="1">IF(ATALI[[#This Row],[N.B.nota]]="","",ADDRESS(ROW(ATALI[QB]),COLUMN(ATALI[QB]))&amp;":"&amp;ADDRESS(ROW(),COLUMN(ATALI[QB])))</f>
        <v>$D$3:$D$51</v>
      </c>
      <c r="Y51" s="14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NOTA]]="","",HYPERLINK("[NOTA_.xlsx]NOTA!e"&amp;INDEX([6]!PAJAK[//],MATCH(ATALI[[#This Row],[ID NOTA]],[6]!PAJAK[ID],0)),"&gt;") )</f>
        <v/>
      </c>
      <c r="D52" s="6" t="str">
        <f>IF(ATALI[[#This Row],[ID NOTA]]="","",INDEX(Table1[QB],MATCH(ATALI[[#This Row],[ID NOTA]],Table1[ID],0)))</f>
        <v/>
      </c>
      <c r="E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560</v>
      </c>
      <c r="F52" s="6"/>
      <c r="G52" s="3" t="str">
        <f>IF(ATALI[[#This Row],[ID NOTA]]="","",INDEX([6]!NOTA[TGL_H],MATCH(ATALI[[#This Row],[ID NOTA]],[6]!NOTA[ID],0)))</f>
        <v/>
      </c>
      <c r="H52" s="3" t="str">
        <f>IF(ATALI[[#This Row],[ID NOTA]]="","",INDEX([6]!NOTA[TGL.NOTA],MATCH(ATALI[[#This Row],[ID NOTA]],[6]!NOTA[ID],0)))</f>
        <v/>
      </c>
      <c r="I52" s="4" t="str">
        <f>IF(ATALI[[#This Row],[ID NOTA]]="","",INDEX([6]!NOTA[NO.NOTA],MATCH(ATALI[[#This Row],[ID NOTA]],[6]!NOTA[ID],0)))</f>
        <v/>
      </c>
      <c r="J52" s="4" t="s">
        <v>281</v>
      </c>
      <c r="K52" s="6">
        <f ca="1">IF(ATALI[[#This Row],[//]]="","",IF(INDEX([6]!NOTA[C],ATALI[[#This Row],[//]]-2)="","",INDEX([6]!NOTA[C],ATALI[[#This Row],[//]]-2)))</f>
        <v>2</v>
      </c>
      <c r="L52" s="6">
        <f ca="1">IF(ATALI[[#This Row],[//]]="","",INDEX([6]!NOTA[QTY],ATALI[[#This Row],[//]]-2))</f>
        <v>240</v>
      </c>
      <c r="M52" s="6" t="str">
        <f ca="1">IF(ATALI[[#This Row],[//]]="","",INDEX([6]!NOTA[STN],ATALI[[#This Row],[//]]-2))</f>
        <v>PCS</v>
      </c>
      <c r="N52" s="5">
        <f ca="1">IF(ATALI[[#This Row],[//]]="","",INDEX([6]!NOTA[HARGA SATUAN],ATALI[[#This Row],[//]]-2))</f>
        <v>12950</v>
      </c>
      <c r="O52" s="8">
        <f ca="1">IF(ATALI[[#This Row],[//]]="","",INDEX([6]!NOTA[DISC 1],ATALI[[#This Row],[//]]-2))</f>
        <v>0.125</v>
      </c>
      <c r="P52" s="8">
        <f ca="1">IF(ATALI[[#This Row],[//]]="","",INDEX([6]!NOTA[DISC 2],ATALI[[#This Row],[//]]-2))</f>
        <v>0.05</v>
      </c>
      <c r="Q52" s="5">
        <f ca="1">IF(ATALI[[#This Row],[//]]="","",INDEX([6]!NOTA[TOTAL],ATALI[[#This Row],[//]]-2))</f>
        <v>2583525</v>
      </c>
      <c r="R5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5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25992023.75</v>
      </c>
      <c r="T5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4" t="str">
        <f ca="1">IF(ATALI[[#This Row],[//]]="","",INDEX([6]!NOTA[NAMA BARANG],ATALI[[#This Row],[//]]-2))</f>
        <v>PUNCH 30XL JK</v>
      </c>
      <c r="V52" s="4" t="str">
        <f ca="1">LOWER(SUBSTITUTE(SUBSTITUTE(SUBSTITUTE(SUBSTITUTE(SUBSTITUTE(SUBSTITUTE(SUBSTITUTE(ATALI[[#This Row],[N.B.nota]]," ",""),"-",""),"(",""),")",""),".",""),",",""),"/",""))</f>
        <v>punch30xljk</v>
      </c>
      <c r="W52" s="4" t="s">
        <v>137</v>
      </c>
      <c r="X52" s="4" t="str">
        <f ca="1">IF(ATALI[[#This Row],[N.B.nota]]="","",ADDRESS(ROW(ATALI[QB]),COLUMN(ATALI[QB]))&amp;":"&amp;ADDRESS(ROW(),COLUMN(ATALI[QB])))</f>
        <v>$D$3:$D$52</v>
      </c>
      <c r="Y52" s="14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NOTA]]="","",HYPERLINK("[NOTA_.xlsx]NOTA!e"&amp;INDEX([6]!PAJAK[//],MATCH(ATALI[[#This Row],[ID NOTA]],[6]!PAJAK[ID],0)),"&gt;") )</f>
        <v/>
      </c>
      <c r="D53" s="6" t="str">
        <f>IF(ATALI[[#This Row],[ID NOTA]]="","",INDEX(Table1[QB],MATCH(ATALI[[#This Row],[ID NOTA]],Table1[ID],0)))</f>
        <v/>
      </c>
      <c r="E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" s="6"/>
      <c r="G53" s="3" t="str">
        <f>IF(ATALI[[#This Row],[ID NOTA]]="","",INDEX([6]!NOTA[TGL_H],MATCH(ATALI[[#This Row],[ID NOTA]],[6]!NOTA[ID],0)))</f>
        <v/>
      </c>
      <c r="H53" s="3" t="str">
        <f>IF(ATALI[[#This Row],[ID NOTA]]="","",INDEX([6]!NOTA[TGL.NOTA],MATCH(ATALI[[#This Row],[ID NOTA]],[6]!NOTA[ID],0)))</f>
        <v/>
      </c>
      <c r="I53" s="4" t="str">
        <f>IF(ATALI[[#This Row],[ID NOTA]]="","",INDEX([6]!NOTA[NO.NOTA],MATCH(ATALI[[#This Row],[ID NOTA]],[6]!NOTA[ID],0)))</f>
        <v/>
      </c>
      <c r="J53" s="4" t="s">
        <v>136</v>
      </c>
      <c r="K53" s="6" t="str">
        <f ca="1">IF(ATALI[[#This Row],[//]]="","",IF(INDEX([6]!NOTA[C],ATALI[[#This Row],[//]]-2)="","",INDEX([6]!NOTA[C],ATALI[[#This Row],[//]]-2)))</f>
        <v/>
      </c>
      <c r="L53" s="6" t="str">
        <f ca="1">IF(ATALI[[#This Row],[//]]="","",INDEX([6]!NOTA[QTY],ATALI[[#This Row],[//]]-2))</f>
        <v/>
      </c>
      <c r="M53" s="6" t="str">
        <f ca="1">IF(ATALI[[#This Row],[//]]="","",INDEX([6]!NOTA[STN],ATALI[[#This Row],[//]]-2))</f>
        <v/>
      </c>
      <c r="N53" s="5" t="str">
        <f ca="1">IF(ATALI[[#This Row],[//]]="","",INDEX([6]!NOTA[HARGA SATUAN],ATALI[[#This Row],[//]]-2))</f>
        <v/>
      </c>
      <c r="O53" s="8" t="str">
        <f ca="1">IF(ATALI[[#This Row],[//]]="","",INDEX([6]!NOTA[DISC 1],ATALI[[#This Row],[//]]-2))</f>
        <v/>
      </c>
      <c r="P53" s="8" t="str">
        <f ca="1">IF(ATALI[[#This Row],[//]]="","",INDEX([6]!NOTA[DISC 2],ATALI[[#This Row],[//]]-2))</f>
        <v/>
      </c>
      <c r="Q53" s="5" t="str">
        <f ca="1">IF(ATALI[[#This Row],[//]]="","",INDEX([6]!NOTA[TOTAL],ATALI[[#This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4" t="str">
        <f ca="1">IF(ATALI[[#This Row],[//]]="","",INDEX([6]!NOTA[NAMA BARANG],ATALI[[#This Row],[//]]-2))</f>
        <v/>
      </c>
      <c r="V53" s="4" t="str">
        <f ca="1">LOWER(SUBSTITUTE(SUBSTITUTE(SUBSTITUTE(SUBSTITUTE(SUBSTITUTE(SUBSTITUTE(SUBSTITUTE(ATALI[[#This Row],[N.B.nota]]," ",""),"-",""),"(",""),")",""),".",""),",",""),"/",""))</f>
        <v/>
      </c>
      <c r="W53" s="4" t="s">
        <v>136</v>
      </c>
      <c r="X53" s="4" t="str">
        <f ca="1">IF(ATALI[[#This Row],[N.B.nota]]="","",ADDRESS(ROW(ATALI[QB]),COLUMN(ATALI[QB]))&amp;":"&amp;ADDRESS(ROW(),COLUMN(ATALI[QB])))</f>
        <v/>
      </c>
      <c r="Y53" s="14" t="str">
        <f ca="1">IF(ATALI[[#This Row],[//]]="","",HYPERLINK("[../DB.xlsx]DB!e"&amp;MATCH(ATALI[[#This Row],[concat]],[4]!db[NB NOTA_C],0)+1,"&gt;"))</f>
        <v/>
      </c>
    </row>
    <row r="54" spans="1:25" x14ac:dyDescent="0.25">
      <c r="A54" s="4" t="s">
        <v>78</v>
      </c>
      <c r="B54" s="6">
        <f ca="1">IF(ATALI[[#This Row],[N_ID]]="","",INDEX(Table1[ID],MATCH(ATALI[[#This Row],[N_ID]],Table1[N_ID],0)))</f>
        <v>108</v>
      </c>
      <c r="C54" s="6" t="str">
        <f ca="1">IF(ATALI[[#This Row],[ID NOTA]]="","",HYPERLINK("[NOTA_.xlsx]NOTA!e"&amp;INDEX([6]!PAJAK[//],MATCH(ATALI[[#This Row],[ID NOTA]],[6]!PAJAK[ID],0)),"&gt;") )</f>
        <v>&gt;</v>
      </c>
      <c r="D54" s="6">
        <f ca="1">IF(ATALI[[#This Row],[ID NOTA]]="","",INDEX(Table1[QB],MATCH(ATALI[[#This Row],[ID NOTA]],Table1[ID],0)))</f>
        <v>7</v>
      </c>
      <c r="E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562</v>
      </c>
      <c r="F54" s="6"/>
      <c r="G54" s="3">
        <f ca="1">IF(ATALI[[#This Row],[ID NOTA]]="","",INDEX([6]!NOTA[TGL_H],MATCH(ATALI[[#This Row],[ID NOTA]],[6]!NOTA[ID],0)))</f>
        <v>44760</v>
      </c>
      <c r="H54" s="3">
        <f ca="1">IF(ATALI[[#This Row],[ID NOTA]]="","",INDEX([6]!NOTA[TGL.NOTA],MATCH(ATALI[[#This Row],[ID NOTA]],[6]!NOTA[ID],0)))</f>
        <v>44754</v>
      </c>
      <c r="I54" s="4" t="str">
        <f ca="1">IF(ATALI[[#This Row],[ID NOTA]]="","",INDEX([6]!NOTA[NO.NOTA],MATCH(ATALI[[#This Row],[ID NOTA]],[6]!NOTA[ID],0)))</f>
        <v>SA220709807</v>
      </c>
      <c r="J54" s="4" t="s">
        <v>282</v>
      </c>
      <c r="K54" s="6" t="str">
        <f ca="1">IF(ATALI[[#This Row],[//]]="","",IF(INDEX([6]!NOTA[C],ATALI[[#This Row],[//]]-2)="","",INDEX([6]!NOTA[C],ATALI[[#This Row],[//]]-2)))</f>
        <v/>
      </c>
      <c r="L54" s="6">
        <f ca="1">IF(ATALI[[#This Row],[//]]="","",INDEX([6]!NOTA[QTY],ATALI[[#This Row],[//]]-2))</f>
        <v>200</v>
      </c>
      <c r="M54" s="6" t="str">
        <f ca="1">IF(ATALI[[#This Row],[//]]="","",INDEX([6]!NOTA[STN],ATALI[[#This Row],[//]]-2))</f>
        <v>PCS</v>
      </c>
      <c r="N54" s="5">
        <f ca="1">IF(ATALI[[#This Row],[//]]="","",INDEX([6]!NOTA[HARGA SATUAN],ATALI[[#This Row],[//]]-2))</f>
        <v>3600</v>
      </c>
      <c r="O54" s="8">
        <f ca="1">IF(ATALI[[#This Row],[//]]="","",INDEX([6]!NOTA[DISC 1],ATALI[[#This Row],[//]]-2))</f>
        <v>0.125</v>
      </c>
      <c r="P54" s="8">
        <f ca="1">IF(ATALI[[#This Row],[//]]="","",INDEX([6]!NOTA[DISC 2],ATALI[[#This Row],[//]]-2))</f>
        <v>0.05</v>
      </c>
      <c r="Q54" s="5">
        <f ca="1">IF(ATALI[[#This Row],[//]]="","",INDEX([6]!NOTA[TOTAL],ATALI[[#This Row],[//]]-2))</f>
        <v>598500</v>
      </c>
      <c r="R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4" t="str">
        <f ca="1">IF(ATALI[[#This Row],[//]]="","",INDEX([6]!NOTA[NAMA BARANG],ATALI[[#This Row],[//]]-2))</f>
        <v>HIGHLIGHTER HL-1 (YELLOW) JK</v>
      </c>
      <c r="V54" s="4" t="str">
        <f ca="1">LOWER(SUBSTITUTE(SUBSTITUTE(SUBSTITUTE(SUBSTITUTE(SUBSTITUTE(SUBSTITUTE(SUBSTITUTE(ATALI[[#This Row],[N.B.nota]]," ",""),"-",""),"(",""),")",""),".",""),",",""),"/",""))</f>
        <v>highlighterhl1yellowjk</v>
      </c>
      <c r="W54" s="4" t="s">
        <v>137</v>
      </c>
      <c r="X54" s="4" t="str">
        <f ca="1">IF(ATALI[[#This Row],[N.B.nota]]="","",ADDRESS(ROW(ATALI[QB]),COLUMN(ATALI[QB]))&amp;":"&amp;ADDRESS(ROW(),COLUMN(ATALI[QB])))</f>
        <v>$D$3:$D$54</v>
      </c>
      <c r="Y54" s="14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NOTA]]="","",HYPERLINK("[NOTA_.xlsx]NOTA!e"&amp;INDEX([6]!PAJAK[//],MATCH(ATALI[[#This Row],[ID NOTA]],[6]!PAJAK[ID],0)),"&gt;") )</f>
        <v/>
      </c>
      <c r="D55" s="6" t="str">
        <f>IF(ATALI[[#This Row],[ID NOTA]]="","",INDEX(Table1[QB],MATCH(ATALI[[#This Row],[ID NOTA]],Table1[ID],0)))</f>
        <v/>
      </c>
      <c r="E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563</v>
      </c>
      <c r="F55" s="6"/>
      <c r="G55" s="3" t="str">
        <f>IF(ATALI[[#This Row],[ID NOTA]]="","",INDEX([6]!NOTA[TGL_H],MATCH(ATALI[[#This Row],[ID NOTA]],[6]!NOTA[ID],0)))</f>
        <v/>
      </c>
      <c r="H55" s="3" t="str">
        <f>IF(ATALI[[#This Row],[ID NOTA]]="","",INDEX([6]!NOTA[TGL.NOTA],MATCH(ATALI[[#This Row],[ID NOTA]],[6]!NOTA[ID],0)))</f>
        <v/>
      </c>
      <c r="I55" s="4" t="str">
        <f>IF(ATALI[[#This Row],[ID NOTA]]="","",INDEX([6]!NOTA[NO.NOTA],MATCH(ATALI[[#This Row],[ID NOTA]],[6]!NOTA[ID],0)))</f>
        <v/>
      </c>
      <c r="J55" s="4" t="s">
        <v>283</v>
      </c>
      <c r="K55" s="6" t="str">
        <f ca="1">IF(ATALI[[#This Row],[//]]="","",IF(INDEX([6]!NOTA[C],ATALI[[#This Row],[//]]-2)="","",INDEX([6]!NOTA[C],ATALI[[#This Row],[//]]-2)))</f>
        <v/>
      </c>
      <c r="L55" s="6">
        <f ca="1">IF(ATALI[[#This Row],[//]]="","",INDEX([6]!NOTA[QTY],ATALI[[#This Row],[//]]-2))</f>
        <v>160</v>
      </c>
      <c r="M55" s="6" t="str">
        <f ca="1">IF(ATALI[[#This Row],[//]]="","",INDEX([6]!NOTA[STN],ATALI[[#This Row],[//]]-2))</f>
        <v>PCS</v>
      </c>
      <c r="N55" s="5">
        <f ca="1">IF(ATALI[[#This Row],[//]]="","",INDEX([6]!NOTA[HARGA SATUAN],ATALI[[#This Row],[//]]-2))</f>
        <v>3600</v>
      </c>
      <c r="O55" s="8">
        <f ca="1">IF(ATALI[[#This Row],[//]]="","",INDEX([6]!NOTA[DISC 1],ATALI[[#This Row],[//]]-2))</f>
        <v>0.125</v>
      </c>
      <c r="P55" s="8">
        <f ca="1">IF(ATALI[[#This Row],[//]]="","",INDEX([6]!NOTA[DISC 2],ATALI[[#This Row],[//]]-2))</f>
        <v>0.05</v>
      </c>
      <c r="Q55" s="5">
        <f ca="1">IF(ATALI[[#This Row],[//]]="","",INDEX([6]!NOTA[TOTAL],ATALI[[#This Row],[//]]-2))</f>
        <v>478800</v>
      </c>
      <c r="R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4" t="str">
        <f ca="1">IF(ATALI[[#This Row],[//]]="","",INDEX([6]!NOTA[NAMA BARANG],ATALI[[#This Row],[//]]-2))</f>
        <v>HIGHLIGHTER HL-2 (GREEN) JK</v>
      </c>
      <c r="V55" s="4" t="str">
        <f ca="1">LOWER(SUBSTITUTE(SUBSTITUTE(SUBSTITUTE(SUBSTITUTE(SUBSTITUTE(SUBSTITUTE(SUBSTITUTE(ATALI[[#This Row],[N.B.nota]]," ",""),"-",""),"(",""),")",""),".",""),",",""),"/",""))</f>
        <v>highlighterhl2greenjk</v>
      </c>
      <c r="W55" s="4" t="s">
        <v>137</v>
      </c>
      <c r="X55" s="4" t="str">
        <f ca="1">IF(ATALI[[#This Row],[N.B.nota]]="","",ADDRESS(ROW(ATALI[QB]),COLUMN(ATALI[QB]))&amp;":"&amp;ADDRESS(ROW(),COLUMN(ATALI[QB])))</f>
        <v>$D$3:$D$55</v>
      </c>
      <c r="Y55" s="14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NOTA]]="","",HYPERLINK("[NOTA_.xlsx]NOTA!e"&amp;INDEX([6]!PAJAK[//],MATCH(ATALI[[#This Row],[ID NOTA]],[6]!PAJAK[ID],0)),"&gt;") )</f>
        <v/>
      </c>
      <c r="D56" s="6" t="str">
        <f>IF(ATALI[[#This Row],[ID NOTA]]="","",INDEX(Table1[QB],MATCH(ATALI[[#This Row],[ID NOTA]],Table1[ID],0)))</f>
        <v/>
      </c>
      <c r="E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564</v>
      </c>
      <c r="F56" s="6"/>
      <c r="G56" s="3" t="str">
        <f>IF(ATALI[[#This Row],[ID NOTA]]="","",INDEX([6]!NOTA[TGL_H],MATCH(ATALI[[#This Row],[ID NOTA]],[6]!NOTA[ID],0)))</f>
        <v/>
      </c>
      <c r="H56" s="3" t="str">
        <f>IF(ATALI[[#This Row],[ID NOTA]]="","",INDEX([6]!NOTA[TGL.NOTA],MATCH(ATALI[[#This Row],[ID NOTA]],[6]!NOTA[ID],0)))</f>
        <v/>
      </c>
      <c r="I56" s="4" t="str">
        <f>IF(ATALI[[#This Row],[ID NOTA]]="","",INDEX([6]!NOTA[NO.NOTA],MATCH(ATALI[[#This Row],[ID NOTA]],[6]!NOTA[ID],0)))</f>
        <v/>
      </c>
      <c r="J56" s="4" t="s">
        <v>284</v>
      </c>
      <c r="K56" s="6" t="str">
        <f ca="1">IF(ATALI[[#This Row],[//]]="","",IF(INDEX([6]!NOTA[C],ATALI[[#This Row],[//]]-2)="","",INDEX([6]!NOTA[C],ATALI[[#This Row],[//]]-2)))</f>
        <v/>
      </c>
      <c r="L56" s="6">
        <f ca="1">IF(ATALI[[#This Row],[//]]="","",INDEX([6]!NOTA[QTY],ATALI[[#This Row],[//]]-2))</f>
        <v>120</v>
      </c>
      <c r="M56" s="6" t="str">
        <f ca="1">IF(ATALI[[#This Row],[//]]="","",INDEX([6]!NOTA[STN],ATALI[[#This Row],[//]]-2))</f>
        <v>PCS</v>
      </c>
      <c r="N56" s="5">
        <f ca="1">IF(ATALI[[#This Row],[//]]="","",INDEX([6]!NOTA[HARGA SATUAN],ATALI[[#This Row],[//]]-2))</f>
        <v>3600</v>
      </c>
      <c r="O56" s="8">
        <f ca="1">IF(ATALI[[#This Row],[//]]="","",INDEX([6]!NOTA[DISC 1],ATALI[[#This Row],[//]]-2))</f>
        <v>0.125</v>
      </c>
      <c r="P56" s="8">
        <f ca="1">IF(ATALI[[#This Row],[//]]="","",INDEX([6]!NOTA[DISC 2],ATALI[[#This Row],[//]]-2))</f>
        <v>0.05</v>
      </c>
      <c r="Q56" s="5">
        <f ca="1">IF(ATALI[[#This Row],[//]]="","",INDEX([6]!NOTA[TOTAL],ATALI[[#This Row],[//]]-2))</f>
        <v>359100</v>
      </c>
      <c r="R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4" t="str">
        <f ca="1">IF(ATALI[[#This Row],[//]]="","",INDEX([6]!NOTA[NAMA BARANG],ATALI[[#This Row],[//]]-2))</f>
        <v>HIGHLIGHTER HL-3 (BLUE) JK</v>
      </c>
      <c r="V56" s="4" t="str">
        <f ca="1">LOWER(SUBSTITUTE(SUBSTITUTE(SUBSTITUTE(SUBSTITUTE(SUBSTITUTE(SUBSTITUTE(SUBSTITUTE(ATALI[[#This Row],[N.B.nota]]," ",""),"-",""),"(",""),")",""),".",""),",",""),"/",""))</f>
        <v>highlighterhl3bluejk</v>
      </c>
      <c r="W56" s="4" t="s">
        <v>137</v>
      </c>
      <c r="X56" s="4" t="str">
        <f ca="1">IF(ATALI[[#This Row],[N.B.nota]]="","",ADDRESS(ROW(ATALI[QB]),COLUMN(ATALI[QB]))&amp;":"&amp;ADDRESS(ROW(),COLUMN(ATALI[QB])))</f>
        <v>$D$3:$D$56</v>
      </c>
      <c r="Y56" s="14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NOTA]]="","",HYPERLINK("[NOTA_.xlsx]NOTA!e"&amp;INDEX([6]!PAJAK[//],MATCH(ATALI[[#This Row],[ID NOTA]],[6]!PAJAK[ID],0)),"&gt;") )</f>
        <v/>
      </c>
      <c r="D57" s="6" t="str">
        <f>IF(ATALI[[#This Row],[ID NOTA]]="","",INDEX(Table1[QB],MATCH(ATALI[[#This Row],[ID NOTA]],Table1[ID],0)))</f>
        <v/>
      </c>
      <c r="E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565</v>
      </c>
      <c r="F57" s="6"/>
      <c r="G57" s="3" t="str">
        <f>IF(ATALI[[#This Row],[ID NOTA]]="","",INDEX([6]!NOTA[TGL_H],MATCH(ATALI[[#This Row],[ID NOTA]],[6]!NOTA[ID],0)))</f>
        <v/>
      </c>
      <c r="H57" s="3" t="str">
        <f>IF(ATALI[[#This Row],[ID NOTA]]="","",INDEX([6]!NOTA[TGL.NOTA],MATCH(ATALI[[#This Row],[ID NOTA]],[6]!NOTA[ID],0)))</f>
        <v/>
      </c>
      <c r="I57" s="4" t="str">
        <f>IF(ATALI[[#This Row],[ID NOTA]]="","",INDEX([6]!NOTA[NO.NOTA],MATCH(ATALI[[#This Row],[ID NOTA]],[6]!NOTA[ID],0)))</f>
        <v/>
      </c>
      <c r="J57" s="4" t="s">
        <v>285</v>
      </c>
      <c r="K57" s="6" t="str">
        <f ca="1">IF(ATALI[[#This Row],[//]]="","",IF(INDEX([6]!NOTA[C],ATALI[[#This Row],[//]]-2)="","",INDEX([6]!NOTA[C],ATALI[[#This Row],[//]]-2)))</f>
        <v/>
      </c>
      <c r="L57" s="6">
        <f ca="1">IF(ATALI[[#This Row],[//]]="","",INDEX([6]!NOTA[QTY],ATALI[[#This Row],[//]]-2))</f>
        <v>120</v>
      </c>
      <c r="M57" s="6" t="str">
        <f ca="1">IF(ATALI[[#This Row],[//]]="","",INDEX([6]!NOTA[STN],ATALI[[#This Row],[//]]-2))</f>
        <v>PCS</v>
      </c>
      <c r="N57" s="5">
        <f ca="1">IF(ATALI[[#This Row],[//]]="","",INDEX([6]!NOTA[HARGA SATUAN],ATALI[[#This Row],[//]]-2))</f>
        <v>3600</v>
      </c>
      <c r="O57" s="8">
        <f ca="1">IF(ATALI[[#This Row],[//]]="","",INDEX([6]!NOTA[DISC 1],ATALI[[#This Row],[//]]-2))</f>
        <v>0.125</v>
      </c>
      <c r="P57" s="8">
        <f ca="1">IF(ATALI[[#This Row],[//]]="","",INDEX([6]!NOTA[DISC 2],ATALI[[#This Row],[//]]-2))</f>
        <v>0.05</v>
      </c>
      <c r="Q57" s="5">
        <f ca="1">IF(ATALI[[#This Row],[//]]="","",INDEX([6]!NOTA[TOTAL],ATALI[[#This Row],[//]]-2))</f>
        <v>359100</v>
      </c>
      <c r="R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4" t="str">
        <f ca="1">IF(ATALI[[#This Row],[//]]="","",INDEX([6]!NOTA[NAMA BARANG],ATALI[[#This Row],[//]]-2))</f>
        <v>HIGHLIGHTER HL-4 (PINK) JK</v>
      </c>
      <c r="V57" s="4" t="str">
        <f ca="1">LOWER(SUBSTITUTE(SUBSTITUTE(SUBSTITUTE(SUBSTITUTE(SUBSTITUTE(SUBSTITUTE(SUBSTITUTE(ATALI[[#This Row],[N.B.nota]]," ",""),"-",""),"(",""),")",""),".",""),",",""),"/",""))</f>
        <v>highlighterhl4pinkjk</v>
      </c>
      <c r="W57" s="4" t="s">
        <v>137</v>
      </c>
      <c r="X57" s="4" t="str">
        <f ca="1">IF(ATALI[[#This Row],[N.B.nota]]="","",ADDRESS(ROW(ATALI[QB]),COLUMN(ATALI[QB]))&amp;":"&amp;ADDRESS(ROW(),COLUMN(ATALI[QB])))</f>
        <v>$D$3:$D$57</v>
      </c>
      <c r="Y57" s="14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NOTA]]="","",HYPERLINK("[NOTA_.xlsx]NOTA!e"&amp;INDEX([6]!PAJAK[//],MATCH(ATALI[[#This Row],[ID NOTA]],[6]!PAJAK[ID],0)),"&gt;") )</f>
        <v/>
      </c>
      <c r="D58" s="6" t="str">
        <f>IF(ATALI[[#This Row],[ID NOTA]]="","",INDEX(Table1[QB],MATCH(ATALI[[#This Row],[ID NOTA]],Table1[ID],0)))</f>
        <v/>
      </c>
      <c r="E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566</v>
      </c>
      <c r="F58" s="6"/>
      <c r="G58" s="3" t="str">
        <f>IF(ATALI[[#This Row],[ID NOTA]]="","",INDEX([6]!NOTA[TGL_H],MATCH(ATALI[[#This Row],[ID NOTA]],[6]!NOTA[ID],0)))</f>
        <v/>
      </c>
      <c r="H58" s="3" t="str">
        <f>IF(ATALI[[#This Row],[ID NOTA]]="","",INDEX([6]!NOTA[TGL.NOTA],MATCH(ATALI[[#This Row],[ID NOTA]],[6]!NOTA[ID],0)))</f>
        <v/>
      </c>
      <c r="I58" s="4" t="str">
        <f>IF(ATALI[[#This Row],[ID NOTA]]="","",INDEX([6]!NOTA[NO.NOTA],MATCH(ATALI[[#This Row],[ID NOTA]],[6]!NOTA[ID],0)))</f>
        <v/>
      </c>
      <c r="J58" s="4" t="s">
        <v>286</v>
      </c>
      <c r="K58" s="6" t="str">
        <f ca="1">IF(ATALI[[#This Row],[//]]="","",IF(INDEX([6]!NOTA[C],ATALI[[#This Row],[//]]-2)="","",INDEX([6]!NOTA[C],ATALI[[#This Row],[//]]-2)))</f>
        <v/>
      </c>
      <c r="L58" s="6">
        <f ca="1">IF(ATALI[[#This Row],[//]]="","",INDEX([6]!NOTA[QTY],ATALI[[#This Row],[//]]-2))</f>
        <v>120</v>
      </c>
      <c r="M58" s="6" t="str">
        <f ca="1">IF(ATALI[[#This Row],[//]]="","",INDEX([6]!NOTA[STN],ATALI[[#This Row],[//]]-2))</f>
        <v>PCS</v>
      </c>
      <c r="N58" s="5">
        <f ca="1">IF(ATALI[[#This Row],[//]]="","",INDEX([6]!NOTA[HARGA SATUAN],ATALI[[#This Row],[//]]-2))</f>
        <v>3600</v>
      </c>
      <c r="O58" s="8">
        <f ca="1">IF(ATALI[[#This Row],[//]]="","",INDEX([6]!NOTA[DISC 1],ATALI[[#This Row],[//]]-2))</f>
        <v>0.125</v>
      </c>
      <c r="P58" s="8">
        <f ca="1">IF(ATALI[[#This Row],[//]]="","",INDEX([6]!NOTA[DISC 2],ATALI[[#This Row],[//]]-2))</f>
        <v>0.05</v>
      </c>
      <c r="Q58" s="5">
        <f ca="1">IF(ATALI[[#This Row],[//]]="","",INDEX([6]!NOTA[TOTAL],ATALI[[#This Row],[//]]-2))</f>
        <v>359100</v>
      </c>
      <c r="R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4" t="str">
        <f ca="1">IF(ATALI[[#This Row],[//]]="","",INDEX([6]!NOTA[NAMA BARANG],ATALI[[#This Row],[//]]-2))</f>
        <v>HIGHLIGHTER HL-5 (ORANGE) JK</v>
      </c>
      <c r="V58" s="4" t="str">
        <f ca="1">LOWER(SUBSTITUTE(SUBSTITUTE(SUBSTITUTE(SUBSTITUTE(SUBSTITUTE(SUBSTITUTE(SUBSTITUTE(ATALI[[#This Row],[N.B.nota]]," ",""),"-",""),"(",""),")",""),".",""),",",""),"/",""))</f>
        <v>highlighterhl5orangejk</v>
      </c>
      <c r="W58" s="4" t="s">
        <v>137</v>
      </c>
      <c r="X58" s="4" t="str">
        <f ca="1">IF(ATALI[[#This Row],[N.B.nota]]="","",ADDRESS(ROW(ATALI[QB]),COLUMN(ATALI[QB]))&amp;":"&amp;ADDRESS(ROW(),COLUMN(ATALI[QB])))</f>
        <v>$D$3:$D$58</v>
      </c>
      <c r="Y58" s="14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NOTA]]="","",HYPERLINK("[NOTA_.xlsx]NOTA!e"&amp;INDEX([6]!PAJAK[//],MATCH(ATALI[[#This Row],[ID NOTA]],[6]!PAJAK[ID],0)),"&gt;") )</f>
        <v/>
      </c>
      <c r="D59" s="6" t="str">
        <f>IF(ATALI[[#This Row],[ID NOTA]]="","",INDEX(Table1[QB],MATCH(ATALI[[#This Row],[ID NOTA]],Table1[ID],0)))</f>
        <v/>
      </c>
      <c r="E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567</v>
      </c>
      <c r="F59" s="6"/>
      <c r="G59" s="3" t="str">
        <f>IF(ATALI[[#This Row],[ID NOTA]]="","",INDEX([6]!NOTA[TGL_H],MATCH(ATALI[[#This Row],[ID NOTA]],[6]!NOTA[ID],0)))</f>
        <v/>
      </c>
      <c r="H59" s="3" t="str">
        <f>IF(ATALI[[#This Row],[ID NOTA]]="","",INDEX([6]!NOTA[TGL.NOTA],MATCH(ATALI[[#This Row],[ID NOTA]],[6]!NOTA[ID],0)))</f>
        <v/>
      </c>
      <c r="I59" s="4" t="str">
        <f>IF(ATALI[[#This Row],[ID NOTA]]="","",INDEX([6]!NOTA[NO.NOTA],MATCH(ATALI[[#This Row],[ID NOTA]],[6]!NOTA[ID],0)))</f>
        <v/>
      </c>
      <c r="J59" s="4" t="s">
        <v>287</v>
      </c>
      <c r="K59" s="6">
        <f ca="1">IF(ATALI[[#This Row],[//]]="","",IF(INDEX([6]!NOTA[C],ATALI[[#This Row],[//]]-2)="","",INDEX([6]!NOTA[C],ATALI[[#This Row],[//]]-2)))</f>
        <v>2</v>
      </c>
      <c r="L59" s="6">
        <f ca="1">IF(ATALI[[#This Row],[//]]="","",INDEX([6]!NOTA[QTY],ATALI[[#This Row],[//]]-2))</f>
        <v>40</v>
      </c>
      <c r="M59" s="6" t="str">
        <f ca="1">IF(ATALI[[#This Row],[//]]="","",INDEX([6]!NOTA[STN],ATALI[[#This Row],[//]]-2))</f>
        <v>GRS</v>
      </c>
      <c r="N59" s="5">
        <f ca="1">IF(ATALI[[#This Row],[//]]="","",INDEX([6]!NOTA[HARGA SATUAN],ATALI[[#This Row],[//]]-2))</f>
        <v>67800</v>
      </c>
      <c r="O59" s="8">
        <f ca="1">IF(ATALI[[#This Row],[//]]="","",INDEX([6]!NOTA[DISC 1],ATALI[[#This Row],[//]]-2))</f>
        <v>0.125</v>
      </c>
      <c r="P59" s="8">
        <f ca="1">IF(ATALI[[#This Row],[//]]="","",INDEX([6]!NOTA[DISC 2],ATALI[[#This Row],[//]]-2))</f>
        <v>0.05</v>
      </c>
      <c r="Q59" s="5">
        <f ca="1">IF(ATALI[[#This Row],[//]]="","",INDEX([6]!NOTA[TOTAL],ATALI[[#This Row],[//]]-2))</f>
        <v>2254350</v>
      </c>
      <c r="R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4" t="str">
        <f ca="1">IF(ATALI[[#This Row],[//]]="","",INDEX([6]!NOTA[NAMA BARANG],ATALI[[#This Row],[//]]-2))</f>
        <v>BINDER CLIP 155 JK</v>
      </c>
      <c r="V59" s="4" t="str">
        <f ca="1">LOWER(SUBSTITUTE(SUBSTITUTE(SUBSTITUTE(SUBSTITUTE(SUBSTITUTE(SUBSTITUTE(SUBSTITUTE(ATALI[[#This Row],[N.B.nota]]," ",""),"-",""),"(",""),")",""),".",""),",",""),"/",""))</f>
        <v>binderclip155jk</v>
      </c>
      <c r="W59" s="4" t="s">
        <v>137</v>
      </c>
      <c r="X59" s="4" t="str">
        <f ca="1">IF(ATALI[[#This Row],[N.B.nota]]="","",ADDRESS(ROW(ATALI[QB]),COLUMN(ATALI[QB]))&amp;":"&amp;ADDRESS(ROW(),COLUMN(ATALI[QB])))</f>
        <v>$D$3:$D$59</v>
      </c>
      <c r="Y59" s="14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6" t="str">
        <f>IF(ATALI[[#This Row],[N_ID]]="","",INDEX(Table1[ID],MATCH(ATALI[[#This Row],[N_ID]],Table1[N_ID],0)))</f>
        <v/>
      </c>
      <c r="C60" s="6" t="str">
        <f>IF(ATALI[[#This Row],[ID NOTA]]="","",HYPERLINK("[NOTA_.xlsx]NOTA!e"&amp;INDEX([6]!PAJAK[//],MATCH(ATALI[[#This Row],[ID NOTA]],[6]!PAJAK[ID],0)),"&gt;") )</f>
        <v/>
      </c>
      <c r="D60" s="6" t="str">
        <f>IF(ATALI[[#This Row],[ID NOTA]]="","",INDEX(Table1[QB],MATCH(ATALI[[#This Row],[ID NOTA]],Table1[ID],0)))</f>
        <v/>
      </c>
      <c r="E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568</v>
      </c>
      <c r="F60" s="6"/>
      <c r="G60" s="3" t="str">
        <f>IF(ATALI[[#This Row],[ID NOTA]]="","",INDEX([6]!NOTA[TGL_H],MATCH(ATALI[[#This Row],[ID NOTA]],[6]!NOTA[ID],0)))</f>
        <v/>
      </c>
      <c r="H60" s="3" t="str">
        <f>IF(ATALI[[#This Row],[ID NOTA]]="","",INDEX([6]!NOTA[TGL.NOTA],MATCH(ATALI[[#This Row],[ID NOTA]],[6]!NOTA[ID],0)))</f>
        <v/>
      </c>
      <c r="I60" s="4" t="str">
        <f>IF(ATALI[[#This Row],[ID NOTA]]="","",INDEX([6]!NOTA[NO.NOTA],MATCH(ATALI[[#This Row],[ID NOTA]],[6]!NOTA[ID],0)))</f>
        <v/>
      </c>
      <c r="J60" s="4" t="s">
        <v>255</v>
      </c>
      <c r="K60" s="6" t="str">
        <f ca="1">IF(ATALI[[#This Row],[//]]="","",IF(INDEX([6]!NOTA[C],ATALI[[#This Row],[//]]-2)="","",INDEX([6]!NOTA[C],ATALI[[#This Row],[//]]-2)))</f>
        <v/>
      </c>
      <c r="L60" s="6">
        <f ca="1">IF(ATALI[[#This Row],[//]]="","",INDEX([6]!NOTA[QTY],ATALI[[#This Row],[//]]-2))</f>
        <v>12</v>
      </c>
      <c r="M60" s="6" t="str">
        <f ca="1">IF(ATALI[[#This Row],[//]]="","",INDEX([6]!NOTA[STN],ATALI[[#This Row],[//]]-2))</f>
        <v>DZ</v>
      </c>
      <c r="N60" s="5">
        <f ca="1">IF(ATALI[[#This Row],[//]]="","",INDEX([6]!NOTA[HARGA SATUAN],ATALI[[#This Row],[//]]-2))</f>
        <v>12600</v>
      </c>
      <c r="O60" s="8">
        <f ca="1">IF(ATALI[[#This Row],[//]]="","",INDEX([6]!NOTA[DISC 1],ATALI[[#This Row],[//]]-2))</f>
        <v>0.1</v>
      </c>
      <c r="P60" s="8">
        <f ca="1">IF(ATALI[[#This Row],[//]]="","",INDEX([6]!NOTA[DISC 2],ATALI[[#This Row],[//]]-2))</f>
        <v>0.05</v>
      </c>
      <c r="Q60" s="5">
        <f ca="1">IF(ATALI[[#This Row],[//]]="","",INDEX([6]!NOTA[TOTAL],ATALI[[#This Row],[//]]-2))</f>
        <v>129276</v>
      </c>
      <c r="R6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6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4408950</v>
      </c>
      <c r="T60" s="13" t="str">
        <f ca="1">IF(ATALI[[#This Row],[//]]="","",IF(INDEX(INDIRECT("NOTA_.xlsx!NOTA["&amp;ATALI[#Headers]&amp;"]"),ATALI[[#This Row],[//]]-2)="","",INDEX(INDIRECT("NOTA_.xlsx!NOTA["&amp;ATALI[#Headers]&amp;"]"),ATALI[[#This Row],[//]]-2)))</f>
        <v>BALON U/PEMBELIAN BINDER CLIP NO.105 S/D 300 JK</v>
      </c>
      <c r="U60" s="4" t="str">
        <f ca="1">IF(ATALI[[#This Row],[//]]="","",INDEX([6]!NOTA[NAMA BARANG],ATALI[[#This Row],[//]]-2))</f>
        <v>BALLPEN BP-338 VOCUS (BLACK) JK</v>
      </c>
      <c r="V60" s="4" t="str">
        <f ca="1">LOWER(SUBSTITUTE(SUBSTITUTE(SUBSTITUTE(SUBSTITUTE(SUBSTITUTE(SUBSTITUTE(SUBSTITUTE(ATALI[[#This Row],[N.B.nota]]," ",""),"-",""),"(",""),")",""),".",""),",",""),"/",""))</f>
        <v>ballpenbp338vocusblackjk</v>
      </c>
      <c r="W60" s="4" t="s">
        <v>137</v>
      </c>
      <c r="X60" s="4" t="str">
        <f ca="1">IF(ATALI[[#This Row],[N.B.nota]]="","",ADDRESS(ROW(ATALI[QB]),COLUMN(ATALI[QB]))&amp;":"&amp;ADDRESS(ROW(),COLUMN(ATALI[QB])))</f>
        <v>$D$3:$D$60</v>
      </c>
      <c r="Y60" s="14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6" t="str">
        <f>IF(ATALI[[#This Row],[N_ID]]="","",INDEX(Table1[ID],MATCH(ATALI[[#This Row],[N_ID]],Table1[N_ID],0)))</f>
        <v/>
      </c>
      <c r="C61" s="6" t="str">
        <f>IF(ATALI[[#This Row],[ID NOTA]]="","",HYPERLINK("[NOTA_.xlsx]NOTA!e"&amp;INDEX([6]!PAJAK[//],MATCH(ATALI[[#This Row],[ID NOTA]],[6]!PAJAK[ID],0)),"&gt;") )</f>
        <v/>
      </c>
      <c r="D61" s="6" t="str">
        <f>IF(ATALI[[#This Row],[ID NOTA]]="","",INDEX(Table1[QB],MATCH(ATALI[[#This Row],[ID NOTA]],Table1[ID],0)))</f>
        <v/>
      </c>
      <c r="E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" s="6"/>
      <c r="G61" s="3" t="str">
        <f>IF(ATALI[[#This Row],[ID NOTA]]="","",INDEX([6]!NOTA[TGL_H],MATCH(ATALI[[#This Row],[ID NOTA]],[6]!NOTA[ID],0)))</f>
        <v/>
      </c>
      <c r="H61" s="3" t="str">
        <f>IF(ATALI[[#This Row],[ID NOTA]]="","",INDEX([6]!NOTA[TGL.NOTA],MATCH(ATALI[[#This Row],[ID NOTA]],[6]!NOTA[ID],0)))</f>
        <v/>
      </c>
      <c r="I61" s="4" t="str">
        <f>IF(ATALI[[#This Row],[ID NOTA]]="","",INDEX([6]!NOTA[NO.NOTA],MATCH(ATALI[[#This Row],[ID NOTA]],[6]!NOTA[ID],0)))</f>
        <v/>
      </c>
      <c r="J61" s="4" t="s">
        <v>136</v>
      </c>
      <c r="K61" s="6" t="str">
        <f ca="1">IF(ATALI[[#This Row],[//]]="","",IF(INDEX([6]!NOTA[C],ATALI[[#This Row],[//]]-2)="","",INDEX([6]!NOTA[C],ATALI[[#This Row],[//]]-2)))</f>
        <v/>
      </c>
      <c r="L61" s="6" t="str">
        <f ca="1">IF(ATALI[[#This Row],[//]]="","",INDEX([6]!NOTA[QTY],ATALI[[#This Row],[//]]-2))</f>
        <v/>
      </c>
      <c r="M61" s="6" t="str">
        <f ca="1">IF(ATALI[[#This Row],[//]]="","",INDEX([6]!NOTA[STN],ATALI[[#This Row],[//]]-2))</f>
        <v/>
      </c>
      <c r="N61" s="5" t="str">
        <f ca="1">IF(ATALI[[#This Row],[//]]="","",INDEX([6]!NOTA[HARGA SATUAN],ATALI[[#This Row],[//]]-2))</f>
        <v/>
      </c>
      <c r="O61" s="8" t="str">
        <f ca="1">IF(ATALI[[#This Row],[//]]="","",INDEX([6]!NOTA[DISC 1],ATALI[[#This Row],[//]]-2))</f>
        <v/>
      </c>
      <c r="P61" s="8" t="str">
        <f ca="1">IF(ATALI[[#This Row],[//]]="","",INDEX([6]!NOTA[DISC 2],ATALI[[#This Row],[//]]-2))</f>
        <v/>
      </c>
      <c r="Q61" s="5" t="str">
        <f ca="1">IF(ATALI[[#This Row],[//]]="","",INDEX([6]!NOTA[TOTAL],ATALI[[#This Row],[//]]-2))</f>
        <v/>
      </c>
      <c r="R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4" t="str">
        <f ca="1">IF(ATALI[[#This Row],[//]]="","",INDEX([6]!NOTA[NAMA BARANG],ATALI[[#This Row],[//]]-2))</f>
        <v/>
      </c>
      <c r="V61" s="4" t="str">
        <f ca="1">LOWER(SUBSTITUTE(SUBSTITUTE(SUBSTITUTE(SUBSTITUTE(SUBSTITUTE(SUBSTITUTE(SUBSTITUTE(ATALI[[#This Row],[N.B.nota]]," ",""),"-",""),"(",""),")",""),".",""),",",""),"/",""))</f>
        <v/>
      </c>
      <c r="W61" s="4" t="s">
        <v>136</v>
      </c>
      <c r="X61" s="4" t="str">
        <f ca="1">IF(ATALI[[#This Row],[N.B.nota]]="","",ADDRESS(ROW(ATALI[QB]),COLUMN(ATALI[QB]))&amp;":"&amp;ADDRESS(ROW(),COLUMN(ATALI[QB])))</f>
        <v/>
      </c>
      <c r="Y61" s="14" t="str">
        <f ca="1">IF(ATALI[[#This Row],[//]]="","",HYPERLINK("[../DB.xlsx]DB!e"&amp;MATCH(ATALI[[#This Row],[concat]],[4]!db[NB NOTA_C],0)+1,"&gt;"))</f>
        <v/>
      </c>
    </row>
    <row r="62" spans="1:25" x14ac:dyDescent="0.25">
      <c r="A62" s="4" t="s">
        <v>79</v>
      </c>
      <c r="B62" s="6">
        <f ca="1">IF(ATALI[[#This Row],[N_ID]]="","",INDEX(Table1[ID],MATCH(ATALI[[#This Row],[N_ID]],Table1[N_ID],0)))</f>
        <v>103</v>
      </c>
      <c r="C62" s="6" t="str">
        <f ca="1">IF(ATALI[[#This Row],[ID NOTA]]="","",HYPERLINK("[NOTA_.xlsx]NOTA!e"&amp;INDEX([6]!PAJAK[//],MATCH(ATALI[[#This Row],[ID NOTA]],[6]!PAJAK[ID],0)),"&gt;") )</f>
        <v>&gt;</v>
      </c>
      <c r="D62" s="6">
        <f ca="1">IF(ATALI[[#This Row],[ID NOTA]]="","",INDEX(Table1[QB],MATCH(ATALI[[#This Row],[ID NOTA]],Table1[ID],0)))</f>
        <v>5</v>
      </c>
      <c r="E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518</v>
      </c>
      <c r="F62" s="6"/>
      <c r="G62" s="3">
        <f ca="1">IF(ATALI[[#This Row],[ID NOTA]]="","",INDEX([6]!NOTA[TGL_H],MATCH(ATALI[[#This Row],[ID NOTA]],[6]!NOTA[ID],0)))</f>
        <v>44760</v>
      </c>
      <c r="H62" s="3">
        <f ca="1">IF(ATALI[[#This Row],[ID NOTA]]="","",INDEX([6]!NOTA[TGL.NOTA],MATCH(ATALI[[#This Row],[ID NOTA]],[6]!NOTA[ID],0)))</f>
        <v>44755</v>
      </c>
      <c r="I62" s="4" t="str">
        <f ca="1">IF(ATALI[[#This Row],[ID NOTA]]="","",INDEX([6]!NOTA[NO.NOTA],MATCH(ATALI[[#This Row],[ID NOTA]],[6]!NOTA[ID],0)))</f>
        <v>SA220709851</v>
      </c>
      <c r="J62" s="4" t="s">
        <v>288</v>
      </c>
      <c r="K62" s="6">
        <f ca="1">IF(ATALI[[#This Row],[//]]="","",IF(INDEX([6]!NOTA[C],ATALI[[#This Row],[//]]-2)="","",INDEX([6]!NOTA[C],ATALI[[#This Row],[//]]-2)))</f>
        <v>1</v>
      </c>
      <c r="L62" s="6">
        <f ca="1">IF(ATALI[[#This Row],[//]]="","",INDEX([6]!NOTA[QTY],ATALI[[#This Row],[//]]-2))</f>
        <v>144</v>
      </c>
      <c r="M62" s="6" t="str">
        <f ca="1">IF(ATALI[[#This Row],[//]]="","",INDEX([6]!NOTA[STN],ATALI[[#This Row],[//]]-2))</f>
        <v>SET</v>
      </c>
      <c r="N62" s="5">
        <f ca="1">IF(ATALI[[#This Row],[//]]="","",INDEX([6]!NOTA[HARGA SATUAN],ATALI[[#This Row],[//]]-2))</f>
        <v>31500</v>
      </c>
      <c r="O62" s="8">
        <f ca="1">IF(ATALI[[#This Row],[//]]="","",INDEX([6]!NOTA[DISC 1],ATALI[[#This Row],[//]]-2))</f>
        <v>0.125</v>
      </c>
      <c r="P62" s="8">
        <f ca="1">IF(ATALI[[#This Row],[//]]="","",INDEX([6]!NOTA[DISC 2],ATALI[[#This Row],[//]]-2))</f>
        <v>0.05</v>
      </c>
      <c r="Q62" s="5">
        <f ca="1">IF(ATALI[[#This Row],[//]]="","",INDEX([6]!NOTA[TOTAL],ATALI[[#This Row],[//]]-2))</f>
        <v>3770550</v>
      </c>
      <c r="R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4" t="str">
        <f ca="1">IF(ATALI[[#This Row],[//]]="","",INDEX([6]!NOTA[NAMA BARANG],ATALI[[#This Row],[//]]-2))</f>
        <v>COLOR BRUSH PEN CLP-06 JK</v>
      </c>
      <c r="V62" s="4" t="str">
        <f ca="1">LOWER(SUBSTITUTE(SUBSTITUTE(SUBSTITUTE(SUBSTITUTE(SUBSTITUTE(SUBSTITUTE(SUBSTITUTE(ATALI[[#This Row],[N.B.nota]]," ",""),"-",""),"(",""),")",""),".",""),",",""),"/",""))</f>
        <v>colorbrushpenclp06jk</v>
      </c>
      <c r="W62" s="4" t="s">
        <v>137</v>
      </c>
      <c r="X62" s="4" t="str">
        <f ca="1">IF(ATALI[[#This Row],[N.B.nota]]="","",ADDRESS(ROW(ATALI[QB]),COLUMN(ATALI[QB]))&amp;":"&amp;ADDRESS(ROW(),COLUMN(ATALI[QB])))</f>
        <v>$D$3:$D$62</v>
      </c>
      <c r="Y62" s="14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6" t="str">
        <f>IF(ATALI[[#This Row],[N_ID]]="","",INDEX(Table1[ID],MATCH(ATALI[[#This Row],[N_ID]],Table1[N_ID],0)))</f>
        <v/>
      </c>
      <c r="C63" s="6" t="str">
        <f>IF(ATALI[[#This Row],[ID NOTA]]="","",HYPERLINK("[NOTA_.xlsx]NOTA!e"&amp;INDEX([6]!PAJAK[//],MATCH(ATALI[[#This Row],[ID NOTA]],[6]!PAJAK[ID],0)),"&gt;") )</f>
        <v/>
      </c>
      <c r="D63" s="6" t="str">
        <f>IF(ATALI[[#This Row],[ID NOTA]]="","",INDEX(Table1[QB],MATCH(ATALI[[#This Row],[ID NOTA]],Table1[ID],0)))</f>
        <v/>
      </c>
      <c r="E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519</v>
      </c>
      <c r="F63" s="6"/>
      <c r="G63" s="3" t="str">
        <f>IF(ATALI[[#This Row],[ID NOTA]]="","",INDEX([6]!NOTA[TGL_H],MATCH(ATALI[[#This Row],[ID NOTA]],[6]!NOTA[ID],0)))</f>
        <v/>
      </c>
      <c r="H63" s="3" t="str">
        <f>IF(ATALI[[#This Row],[ID NOTA]]="","",INDEX([6]!NOTA[TGL.NOTA],MATCH(ATALI[[#This Row],[ID NOTA]],[6]!NOTA[ID],0)))</f>
        <v/>
      </c>
      <c r="I63" s="4" t="str">
        <f>IF(ATALI[[#This Row],[ID NOTA]]="","",INDEX([6]!NOTA[NO.NOTA],MATCH(ATALI[[#This Row],[ID NOTA]],[6]!NOTA[ID],0)))</f>
        <v/>
      </c>
      <c r="J63" s="4" t="s">
        <v>289</v>
      </c>
      <c r="K63" s="6">
        <f ca="1">IF(ATALI[[#This Row],[//]]="","",IF(INDEX([6]!NOTA[C],ATALI[[#This Row],[//]]-2)="","",INDEX([6]!NOTA[C],ATALI[[#This Row],[//]]-2)))</f>
        <v>1</v>
      </c>
      <c r="L63" s="6">
        <f ca="1">IF(ATALI[[#This Row],[//]]="","",INDEX([6]!NOTA[QTY],ATALI[[#This Row],[//]]-2))</f>
        <v>72</v>
      </c>
      <c r="M63" s="6" t="str">
        <f ca="1">IF(ATALI[[#This Row],[//]]="","",INDEX([6]!NOTA[STN],ATALI[[#This Row],[//]]-2))</f>
        <v>PCS</v>
      </c>
      <c r="N63" s="5">
        <f ca="1">IF(ATALI[[#This Row],[//]]="","",INDEX([6]!NOTA[HARGA SATUAN],ATALI[[#This Row],[//]]-2))</f>
        <v>15800</v>
      </c>
      <c r="O63" s="8">
        <f ca="1">IF(ATALI[[#This Row],[//]]="","",INDEX([6]!NOTA[DISC 1],ATALI[[#This Row],[//]]-2))</f>
        <v>0.125</v>
      </c>
      <c r="P63" s="8">
        <f ca="1">IF(ATALI[[#This Row],[//]]="","",INDEX([6]!NOTA[DISC 2],ATALI[[#This Row],[//]]-2))</f>
        <v>0.05</v>
      </c>
      <c r="Q63" s="5">
        <f ca="1">IF(ATALI[[#This Row],[//]]="","",INDEX([6]!NOTA[TOTAL],ATALI[[#This Row],[//]]-2))</f>
        <v>945630</v>
      </c>
      <c r="R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4" t="str">
        <f ca="1">IF(ATALI[[#This Row],[//]]="","",INDEX([6]!NOTA[NAMA BARANG],ATALI[[#This Row],[//]]-2))</f>
        <v>BINDER A5-TSFC-M480 (FACULTY) JK-U</v>
      </c>
      <c r="V63" s="4" t="str">
        <f ca="1">LOWER(SUBSTITUTE(SUBSTITUTE(SUBSTITUTE(SUBSTITUTE(SUBSTITUTE(SUBSTITUTE(SUBSTITUTE(ATALI[[#This Row],[N.B.nota]]," ",""),"-",""),"(",""),")",""),".",""),",",""),"/",""))</f>
        <v>bindera5tsfcm480facultyjku</v>
      </c>
      <c r="W63" s="4" t="s">
        <v>137</v>
      </c>
      <c r="X63" s="4" t="str">
        <f ca="1">IF(ATALI[[#This Row],[N.B.nota]]="","",ADDRESS(ROW(ATALI[QB]),COLUMN(ATALI[QB]))&amp;":"&amp;ADDRESS(ROW(),COLUMN(ATALI[QB])))</f>
        <v>$D$3:$D$63</v>
      </c>
      <c r="Y63" s="14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4"/>
      <c r="B64" s="6" t="str">
        <f>IF(ATALI[[#This Row],[N_ID]]="","",INDEX(Table1[ID],MATCH(ATALI[[#This Row],[N_ID]],Table1[N_ID],0)))</f>
        <v/>
      </c>
      <c r="C64" s="6" t="str">
        <f>IF(ATALI[[#This Row],[ID NOTA]]="","",HYPERLINK("[NOTA_.xlsx]NOTA!e"&amp;INDEX([6]!PAJAK[//],MATCH(ATALI[[#This Row],[ID NOTA]],[6]!PAJAK[ID],0)),"&gt;") )</f>
        <v/>
      </c>
      <c r="D64" s="6" t="str">
        <f>IF(ATALI[[#This Row],[ID NOTA]]="","",INDEX(Table1[QB],MATCH(ATALI[[#This Row],[ID NOTA]],Table1[ID],0)))</f>
        <v/>
      </c>
      <c r="E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520</v>
      </c>
      <c r="F64" s="6"/>
      <c r="G64" s="3" t="str">
        <f>IF(ATALI[[#This Row],[ID NOTA]]="","",INDEX([6]!NOTA[TGL_H],MATCH(ATALI[[#This Row],[ID NOTA]],[6]!NOTA[ID],0)))</f>
        <v/>
      </c>
      <c r="H64" s="3" t="str">
        <f>IF(ATALI[[#This Row],[ID NOTA]]="","",INDEX([6]!NOTA[TGL.NOTA],MATCH(ATALI[[#This Row],[ID NOTA]],[6]!NOTA[ID],0)))</f>
        <v/>
      </c>
      <c r="I64" s="4" t="str">
        <f>IF(ATALI[[#This Row],[ID NOTA]]="","",INDEX([6]!NOTA[NO.NOTA],MATCH(ATALI[[#This Row],[ID NOTA]],[6]!NOTA[ID],0)))</f>
        <v/>
      </c>
      <c r="J64" s="4" t="s">
        <v>290</v>
      </c>
      <c r="K64" s="6">
        <f ca="1">IF(ATALI[[#This Row],[//]]="","",IF(INDEX([6]!NOTA[C],ATALI[[#This Row],[//]]-2)="","",INDEX([6]!NOTA[C],ATALI[[#This Row],[//]]-2)))</f>
        <v>1</v>
      </c>
      <c r="L64" s="6">
        <f ca="1">IF(ATALI[[#This Row],[//]]="","",INDEX([6]!NOTA[QTY],ATALI[[#This Row],[//]]-2))</f>
        <v>72</v>
      </c>
      <c r="M64" s="6" t="str">
        <f ca="1">IF(ATALI[[#This Row],[//]]="","",INDEX([6]!NOTA[STN],ATALI[[#This Row],[//]]-2))</f>
        <v>PCS</v>
      </c>
      <c r="N64" s="5">
        <f ca="1">IF(ATALI[[#This Row],[//]]="","",INDEX([6]!NOTA[HARGA SATUAN],ATALI[[#This Row],[//]]-2))</f>
        <v>15800</v>
      </c>
      <c r="O64" s="8">
        <f ca="1">IF(ATALI[[#This Row],[//]]="","",INDEX([6]!NOTA[DISC 1],ATALI[[#This Row],[//]]-2))</f>
        <v>0.125</v>
      </c>
      <c r="P64" s="8">
        <f ca="1">IF(ATALI[[#This Row],[//]]="","",INDEX([6]!NOTA[DISC 2],ATALI[[#This Row],[//]]-2))</f>
        <v>0.05</v>
      </c>
      <c r="Q64" s="5">
        <f ca="1">IF(ATALI[[#This Row],[//]]="","",INDEX([6]!NOTA[TOTAL],ATALI[[#This Row],[//]]-2))</f>
        <v>945630</v>
      </c>
      <c r="R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4" t="str">
        <f ca="1">IF(ATALI[[#This Row],[//]]="","",INDEX([6]!NOTA[NAMA BARANG],ATALI[[#This Row],[//]]-2))</f>
        <v>BINDER A5-TSDS-M440 (DISCOVERY) JK-U</v>
      </c>
      <c r="V64" s="4" t="str">
        <f ca="1">LOWER(SUBSTITUTE(SUBSTITUTE(SUBSTITUTE(SUBSTITUTE(SUBSTITUTE(SUBSTITUTE(SUBSTITUTE(ATALI[[#This Row],[N.B.nota]]," ",""),"-",""),"(",""),")",""),".",""),",",""),"/",""))</f>
        <v>bindera5tsdsm440discoveryjku</v>
      </c>
      <c r="W64" s="4" t="s">
        <v>137</v>
      </c>
      <c r="X64" s="4" t="str">
        <f ca="1">IF(ATALI[[#This Row],[N.B.nota]]="","",ADDRESS(ROW(ATALI[QB]),COLUMN(ATALI[QB]))&amp;":"&amp;ADDRESS(ROW(),COLUMN(ATALI[QB])))</f>
        <v>$D$3:$D$64</v>
      </c>
      <c r="Y64" s="14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4"/>
      <c r="B65" s="6" t="str">
        <f>IF(ATALI[[#This Row],[N_ID]]="","",INDEX(Table1[ID],MATCH(ATALI[[#This Row],[N_ID]],Table1[N_ID],0)))</f>
        <v/>
      </c>
      <c r="C65" s="6" t="str">
        <f>IF(ATALI[[#This Row],[ID NOTA]]="","",HYPERLINK("[NOTA_.xlsx]NOTA!e"&amp;INDEX([6]!PAJAK[//],MATCH(ATALI[[#This Row],[ID NOTA]],[6]!PAJAK[ID],0)),"&gt;") )</f>
        <v/>
      </c>
      <c r="D65" s="6" t="str">
        <f>IF(ATALI[[#This Row],[ID NOTA]]="","",INDEX(Table1[QB],MATCH(ATALI[[#This Row],[ID NOTA]],Table1[ID],0)))</f>
        <v/>
      </c>
      <c r="E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521</v>
      </c>
      <c r="F65" s="6"/>
      <c r="G65" s="3" t="str">
        <f>IF(ATALI[[#This Row],[ID NOTA]]="","",INDEX([6]!NOTA[TGL_H],MATCH(ATALI[[#This Row],[ID NOTA]],[6]!NOTA[ID],0)))</f>
        <v/>
      </c>
      <c r="H65" s="3" t="str">
        <f>IF(ATALI[[#This Row],[ID NOTA]]="","",INDEX([6]!NOTA[TGL.NOTA],MATCH(ATALI[[#This Row],[ID NOTA]],[6]!NOTA[ID],0)))</f>
        <v/>
      </c>
      <c r="I65" s="4" t="str">
        <f>IF(ATALI[[#This Row],[ID NOTA]]="","",INDEX([6]!NOTA[NO.NOTA],MATCH(ATALI[[#This Row],[ID NOTA]],[6]!NOTA[ID],0)))</f>
        <v/>
      </c>
      <c r="J65" s="4" t="s">
        <v>291</v>
      </c>
      <c r="K65" s="6">
        <f ca="1">IF(ATALI[[#This Row],[//]]="","",IF(INDEX([6]!NOTA[C],ATALI[[#This Row],[//]]-2)="","",INDEX([6]!NOTA[C],ATALI[[#This Row],[//]]-2)))</f>
        <v>1</v>
      </c>
      <c r="L65" s="6">
        <f ca="1">IF(ATALI[[#This Row],[//]]="","",INDEX([6]!NOTA[QTY],ATALI[[#This Row],[//]]-2))</f>
        <v>72</v>
      </c>
      <c r="M65" s="6" t="str">
        <f ca="1">IF(ATALI[[#This Row],[//]]="","",INDEX([6]!NOTA[STN],ATALI[[#This Row],[//]]-2))</f>
        <v>PCS</v>
      </c>
      <c r="N65" s="5">
        <f ca="1">IF(ATALI[[#This Row],[//]]="","",INDEX([6]!NOTA[HARGA SATUAN],ATALI[[#This Row],[//]]-2))</f>
        <v>15800</v>
      </c>
      <c r="O65" s="8">
        <f ca="1">IF(ATALI[[#This Row],[//]]="","",INDEX([6]!NOTA[DISC 1],ATALI[[#This Row],[//]]-2))</f>
        <v>0.125</v>
      </c>
      <c r="P65" s="8">
        <f ca="1">IF(ATALI[[#This Row],[//]]="","",INDEX([6]!NOTA[DISC 2],ATALI[[#This Row],[//]]-2))</f>
        <v>0.05</v>
      </c>
      <c r="Q65" s="5">
        <f ca="1">IF(ATALI[[#This Row],[//]]="","",INDEX([6]!NOTA[TOTAL],ATALI[[#This Row],[//]]-2))</f>
        <v>945630</v>
      </c>
      <c r="R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4" t="str">
        <f ca="1">IF(ATALI[[#This Row],[//]]="","",INDEX([6]!NOTA[NAMA BARANG],ATALI[[#This Row],[//]]-2))</f>
        <v>BINDER A5-TSCL-M491 (COLLEGE) JK-U</v>
      </c>
      <c r="V65" s="4" t="str">
        <f ca="1">LOWER(SUBSTITUTE(SUBSTITUTE(SUBSTITUTE(SUBSTITUTE(SUBSTITUTE(SUBSTITUTE(SUBSTITUTE(ATALI[[#This Row],[N.B.nota]]," ",""),"-",""),"(",""),")",""),".",""),",",""),"/",""))</f>
        <v>bindera5tsclm491collegejku</v>
      </c>
      <c r="W65" s="4" t="s">
        <v>137</v>
      </c>
      <c r="X65" s="4" t="str">
        <f ca="1">IF(ATALI[[#This Row],[N.B.nota]]="","",ADDRESS(ROW(ATALI[QB]),COLUMN(ATALI[QB]))&amp;":"&amp;ADDRESS(ROW(),COLUMN(ATALI[QB])))</f>
        <v>$D$3:$D$65</v>
      </c>
      <c r="Y65" s="14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4"/>
      <c r="B66" s="6" t="str">
        <f>IF(ATALI[[#This Row],[N_ID]]="","",INDEX(Table1[ID],MATCH(ATALI[[#This Row],[N_ID]],Table1[N_ID],0)))</f>
        <v/>
      </c>
      <c r="C66" s="6" t="str">
        <f>IF(ATALI[[#This Row],[ID NOTA]]="","",HYPERLINK("[NOTA_.xlsx]NOTA!e"&amp;INDEX([6]!PAJAK[//],MATCH(ATALI[[#This Row],[ID NOTA]],[6]!PAJAK[ID],0)),"&gt;") )</f>
        <v/>
      </c>
      <c r="D66" s="6" t="str">
        <f>IF(ATALI[[#This Row],[ID NOTA]]="","",INDEX(Table1[QB],MATCH(ATALI[[#This Row],[ID NOTA]],Table1[ID],0)))</f>
        <v/>
      </c>
      <c r="E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522</v>
      </c>
      <c r="F66" s="6"/>
      <c r="G66" s="3" t="str">
        <f>IF(ATALI[[#This Row],[ID NOTA]]="","",INDEX([6]!NOTA[TGL_H],MATCH(ATALI[[#This Row],[ID NOTA]],[6]!NOTA[ID],0)))</f>
        <v/>
      </c>
      <c r="H66" s="3" t="str">
        <f>IF(ATALI[[#This Row],[ID NOTA]]="","",INDEX([6]!NOTA[TGL.NOTA],MATCH(ATALI[[#This Row],[ID NOTA]],[6]!NOTA[ID],0)))</f>
        <v/>
      </c>
      <c r="I66" s="4" t="str">
        <f>IF(ATALI[[#This Row],[ID NOTA]]="","",INDEX([6]!NOTA[NO.NOTA],MATCH(ATALI[[#This Row],[ID NOTA]],[6]!NOTA[ID],0)))</f>
        <v/>
      </c>
      <c r="J66" s="4" t="s">
        <v>292</v>
      </c>
      <c r="K66" s="6">
        <f ca="1">IF(ATALI[[#This Row],[//]]="","",IF(INDEX([6]!NOTA[C],ATALI[[#This Row],[//]]-2)="","",INDEX([6]!NOTA[C],ATALI[[#This Row],[//]]-2)))</f>
        <v>1</v>
      </c>
      <c r="L66" s="6">
        <f ca="1">IF(ATALI[[#This Row],[//]]="","",INDEX([6]!NOTA[QTY],ATALI[[#This Row],[//]]-2))</f>
        <v>72</v>
      </c>
      <c r="M66" s="6" t="str">
        <f ca="1">IF(ATALI[[#This Row],[//]]="","",INDEX([6]!NOTA[STN],ATALI[[#This Row],[//]]-2))</f>
        <v>PCS</v>
      </c>
      <c r="N66" s="5">
        <f ca="1">IF(ATALI[[#This Row],[//]]="","",INDEX([6]!NOTA[HARGA SATUAN],ATALI[[#This Row],[//]]-2))</f>
        <v>15800</v>
      </c>
      <c r="O66" s="8">
        <f ca="1">IF(ATALI[[#This Row],[//]]="","",INDEX([6]!NOTA[DISC 1],ATALI[[#This Row],[//]]-2))</f>
        <v>0.125</v>
      </c>
      <c r="P66" s="8">
        <f ca="1">IF(ATALI[[#This Row],[//]]="","",INDEX([6]!NOTA[DISC 2],ATALI[[#This Row],[//]]-2))</f>
        <v>0.05</v>
      </c>
      <c r="Q66" s="5">
        <f ca="1">IF(ATALI[[#This Row],[//]]="","",INDEX([6]!NOTA[TOTAL],ATALI[[#This Row],[//]]-2))</f>
        <v>945630</v>
      </c>
      <c r="R6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6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7553070</v>
      </c>
      <c r="T6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4" t="str">
        <f ca="1">IF(ATALI[[#This Row],[//]]="","",INDEX([6]!NOTA[NAMA BARANG],ATALI[[#This Row],[//]]-2))</f>
        <v>BINDER A5-TSTP-513 (TEMPORARY) JK-U</v>
      </c>
      <c r="V66" s="4" t="str">
        <f ca="1">LOWER(SUBSTITUTE(SUBSTITUTE(SUBSTITUTE(SUBSTITUTE(SUBSTITUTE(SUBSTITUTE(SUBSTITUTE(ATALI[[#This Row],[N.B.nota]]," ",""),"-",""),"(",""),")",""),".",""),",",""),"/",""))</f>
        <v>bindera5tstp513temporaryjku</v>
      </c>
      <c r="W66" s="4" t="s">
        <v>137</v>
      </c>
      <c r="X66" s="4" t="str">
        <f ca="1">IF(ATALI[[#This Row],[N.B.nota]]="","",ADDRESS(ROW(ATALI[QB]),COLUMN(ATALI[QB]))&amp;":"&amp;ADDRESS(ROW(),COLUMN(ATALI[QB])))</f>
        <v>$D$3:$D$66</v>
      </c>
      <c r="Y66" s="14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6" t="str">
        <f>IF(ATALI[[#This Row],[N_ID]]="","",INDEX(Table1[ID],MATCH(ATALI[[#This Row],[N_ID]],Table1[N_ID],0)))</f>
        <v/>
      </c>
      <c r="C67" s="6" t="str">
        <f>IF(ATALI[[#This Row],[ID NOTA]]="","",HYPERLINK("[NOTA_.xlsx]NOTA!e"&amp;INDEX([6]!PAJAK[//],MATCH(ATALI[[#This Row],[ID NOTA]],[6]!PAJAK[ID],0)),"&gt;") )</f>
        <v/>
      </c>
      <c r="D67" s="6" t="str">
        <f>IF(ATALI[[#This Row],[ID NOTA]]="","",INDEX(Table1[QB],MATCH(ATALI[[#This Row],[ID NOTA]],Table1[ID],0)))</f>
        <v/>
      </c>
      <c r="E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" s="6"/>
      <c r="G67" s="3" t="str">
        <f>IF(ATALI[[#This Row],[ID NOTA]]="","",INDEX([6]!NOTA[TGL_H],MATCH(ATALI[[#This Row],[ID NOTA]],[6]!NOTA[ID],0)))</f>
        <v/>
      </c>
      <c r="H67" s="3" t="str">
        <f>IF(ATALI[[#This Row],[ID NOTA]]="","",INDEX([6]!NOTA[TGL.NOTA],MATCH(ATALI[[#This Row],[ID NOTA]],[6]!NOTA[ID],0)))</f>
        <v/>
      </c>
      <c r="I67" s="4" t="str">
        <f>IF(ATALI[[#This Row],[ID NOTA]]="","",INDEX([6]!NOTA[NO.NOTA],MATCH(ATALI[[#This Row],[ID NOTA]],[6]!NOTA[ID],0)))</f>
        <v/>
      </c>
      <c r="J67" s="4" t="s">
        <v>136</v>
      </c>
      <c r="K67" s="6" t="str">
        <f ca="1">IF(ATALI[[#This Row],[//]]="","",IF(INDEX([6]!NOTA[C],ATALI[[#This Row],[//]]-2)="","",INDEX([6]!NOTA[C],ATALI[[#This Row],[//]]-2)))</f>
        <v/>
      </c>
      <c r="L67" s="6" t="str">
        <f ca="1">IF(ATALI[[#This Row],[//]]="","",INDEX([6]!NOTA[QTY],ATALI[[#This Row],[//]]-2))</f>
        <v/>
      </c>
      <c r="M67" s="6" t="str">
        <f ca="1">IF(ATALI[[#This Row],[//]]="","",INDEX([6]!NOTA[STN],ATALI[[#This Row],[//]]-2))</f>
        <v/>
      </c>
      <c r="N67" s="5" t="str">
        <f ca="1">IF(ATALI[[#This Row],[//]]="","",INDEX([6]!NOTA[HARGA SATUAN],ATALI[[#This Row],[//]]-2))</f>
        <v/>
      </c>
      <c r="O67" s="8" t="str">
        <f ca="1">IF(ATALI[[#This Row],[//]]="","",INDEX([6]!NOTA[DISC 1],ATALI[[#This Row],[//]]-2))</f>
        <v/>
      </c>
      <c r="P67" s="8" t="str">
        <f ca="1">IF(ATALI[[#This Row],[//]]="","",INDEX([6]!NOTA[DISC 2],ATALI[[#This Row],[//]]-2))</f>
        <v/>
      </c>
      <c r="Q67" s="5" t="str">
        <f ca="1">IF(ATALI[[#This Row],[//]]="","",INDEX([6]!NOTA[TOTAL],ATALI[[#This Row],[//]]-2))</f>
        <v/>
      </c>
      <c r="R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4" t="str">
        <f ca="1">IF(ATALI[[#This Row],[//]]="","",INDEX([6]!NOTA[NAMA BARANG],ATALI[[#This Row],[//]]-2))</f>
        <v/>
      </c>
      <c r="V67" s="4" t="str">
        <f ca="1">LOWER(SUBSTITUTE(SUBSTITUTE(SUBSTITUTE(SUBSTITUTE(SUBSTITUTE(SUBSTITUTE(SUBSTITUTE(ATALI[[#This Row],[N.B.nota]]," ",""),"-",""),"(",""),")",""),".",""),",",""),"/",""))</f>
        <v/>
      </c>
      <c r="W67" s="4" t="s">
        <v>136</v>
      </c>
      <c r="X67" s="4" t="str">
        <f ca="1">IF(ATALI[[#This Row],[N.B.nota]]="","",ADDRESS(ROW(ATALI[QB]),COLUMN(ATALI[QB]))&amp;":"&amp;ADDRESS(ROW(),COLUMN(ATALI[QB])))</f>
        <v/>
      </c>
      <c r="Y67" s="14" t="str">
        <f ca="1">IF(ATALI[[#This Row],[//]]="","",HYPERLINK("[../DB.xlsx]DB!e"&amp;MATCH(ATALI[[#This Row],[concat]],[4]!db[NB NOTA_C],0)+1,"&gt;"))</f>
        <v/>
      </c>
    </row>
    <row r="68" spans="1:25" x14ac:dyDescent="0.25">
      <c r="A68" s="4" t="s">
        <v>80</v>
      </c>
      <c r="B68" s="6">
        <f ca="1">IF(ATALI[[#This Row],[N_ID]]="","",INDEX(Table1[ID],MATCH(ATALI[[#This Row],[N_ID]],Table1[N_ID],0)))</f>
        <v>106</v>
      </c>
      <c r="C68" s="6" t="str">
        <f ca="1">IF(ATALI[[#This Row],[ID NOTA]]="","",HYPERLINK("[NOTA_.xlsx]NOTA!e"&amp;INDEX([6]!PAJAK[//],MATCH(ATALI[[#This Row],[ID NOTA]],[6]!PAJAK[ID],0)),"&gt;") )</f>
        <v>&gt;</v>
      </c>
      <c r="D68" s="6">
        <f ca="1">IF(ATALI[[#This Row],[ID NOTA]]="","",INDEX(Table1[QB],MATCH(ATALI[[#This Row],[ID NOTA]],Table1[ID],0)))</f>
        <v>10</v>
      </c>
      <c r="E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542</v>
      </c>
      <c r="F68" s="6"/>
      <c r="G68" s="3">
        <f ca="1">IF(ATALI[[#This Row],[ID NOTA]]="","",INDEX([6]!NOTA[TGL_H],MATCH(ATALI[[#This Row],[ID NOTA]],[6]!NOTA[ID],0)))</f>
        <v>44760</v>
      </c>
      <c r="H68" s="3">
        <f ca="1">IF(ATALI[[#This Row],[ID NOTA]]="","",INDEX([6]!NOTA[TGL.NOTA],MATCH(ATALI[[#This Row],[ID NOTA]],[6]!NOTA[ID],0)))</f>
        <v>44755</v>
      </c>
      <c r="I68" s="4" t="str">
        <f ca="1">IF(ATALI[[#This Row],[ID NOTA]]="","",INDEX([6]!NOTA[NO.NOTA],MATCH(ATALI[[#This Row],[ID NOTA]],[6]!NOTA[ID],0)))</f>
        <v>SA220709914</v>
      </c>
      <c r="J68" s="4" t="s">
        <v>274</v>
      </c>
      <c r="K68" s="6">
        <f ca="1">IF(ATALI[[#This Row],[//]]="","",IF(INDEX([6]!NOTA[C],ATALI[[#This Row],[//]]-2)="","",INDEX([6]!NOTA[C],ATALI[[#This Row],[//]]-2)))</f>
        <v>4</v>
      </c>
      <c r="L68" s="6">
        <f ca="1">IF(ATALI[[#This Row],[//]]="","",INDEX([6]!NOTA[QTY],ATALI[[#This Row],[//]]-2))</f>
        <v>576</v>
      </c>
      <c r="M68" s="6" t="str">
        <f ca="1">IF(ATALI[[#This Row],[//]]="","",INDEX([6]!NOTA[STN],ATALI[[#This Row],[//]]-2))</f>
        <v>SET</v>
      </c>
      <c r="N68" s="5">
        <f ca="1">IF(ATALI[[#This Row],[//]]="","",INDEX([6]!NOTA[HARGA SATUAN],ATALI[[#This Row],[//]]-2))</f>
        <v>8400</v>
      </c>
      <c r="O68" s="8">
        <f ca="1">IF(ATALI[[#This Row],[//]]="","",INDEX([6]!NOTA[DISC 1],ATALI[[#This Row],[//]]-2))</f>
        <v>0.125</v>
      </c>
      <c r="P68" s="8">
        <f ca="1">IF(ATALI[[#This Row],[//]]="","",INDEX([6]!NOTA[DISC 2],ATALI[[#This Row],[//]]-2))</f>
        <v>0.05</v>
      </c>
      <c r="Q68" s="5">
        <f ca="1">IF(ATALI[[#This Row],[//]]="","",INDEX([6]!NOTA[TOTAL],ATALI[[#This Row],[//]]-2))</f>
        <v>4021920</v>
      </c>
      <c r="R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4" t="str">
        <f ca="1">IF(ATALI[[#This Row],[//]]="","",INDEX([6]!NOTA[NAMA BARANG],ATALI[[#This Row],[//]]-2))</f>
        <v>COLOR PENCIL CP-103 JK</v>
      </c>
      <c r="V68" s="4" t="str">
        <f ca="1">LOWER(SUBSTITUTE(SUBSTITUTE(SUBSTITUTE(SUBSTITUTE(SUBSTITUTE(SUBSTITUTE(SUBSTITUTE(ATALI[[#This Row],[N.B.nota]]," ",""),"-",""),"(",""),")",""),".",""),",",""),"/",""))</f>
        <v>colorpencilcp103jk</v>
      </c>
      <c r="W68" s="4" t="s">
        <v>137</v>
      </c>
      <c r="X68" s="4" t="str">
        <f ca="1">IF(ATALI[[#This Row],[N.B.nota]]="","",ADDRESS(ROW(ATALI[QB]),COLUMN(ATALI[QB]))&amp;":"&amp;ADDRESS(ROW(),COLUMN(ATALI[QB])))</f>
        <v>$D$3:$D$68</v>
      </c>
      <c r="Y68" s="14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6" t="str">
        <f>IF(ATALI[[#This Row],[N_ID]]="","",INDEX(Table1[ID],MATCH(ATALI[[#This Row],[N_ID]],Table1[N_ID],0)))</f>
        <v/>
      </c>
      <c r="C69" s="6" t="str">
        <f>IF(ATALI[[#This Row],[ID NOTA]]="","",HYPERLINK("[NOTA_.xlsx]NOTA!e"&amp;INDEX([6]!PAJAK[//],MATCH(ATALI[[#This Row],[ID NOTA]],[6]!PAJAK[ID],0)),"&gt;") )</f>
        <v/>
      </c>
      <c r="D69" s="6" t="str">
        <f>IF(ATALI[[#This Row],[ID NOTA]]="","",INDEX(Table1[QB],MATCH(ATALI[[#This Row],[ID NOTA]],Table1[ID],0)))</f>
        <v/>
      </c>
      <c r="E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543</v>
      </c>
      <c r="F69" s="6"/>
      <c r="G69" s="3" t="str">
        <f>IF(ATALI[[#This Row],[ID NOTA]]="","",INDEX([6]!NOTA[TGL_H],MATCH(ATALI[[#This Row],[ID NOTA]],[6]!NOTA[ID],0)))</f>
        <v/>
      </c>
      <c r="H69" s="3" t="str">
        <f>IF(ATALI[[#This Row],[ID NOTA]]="","",INDEX([6]!NOTA[TGL.NOTA],MATCH(ATALI[[#This Row],[ID NOTA]],[6]!NOTA[ID],0)))</f>
        <v/>
      </c>
      <c r="I69" s="4" t="str">
        <f>IF(ATALI[[#This Row],[ID NOTA]]="","",INDEX([6]!NOTA[NO.NOTA],MATCH(ATALI[[#This Row],[ID NOTA]],[6]!NOTA[ID],0)))</f>
        <v/>
      </c>
      <c r="J69" s="4" t="s">
        <v>293</v>
      </c>
      <c r="K69" s="6">
        <f ca="1">IF(ATALI[[#This Row],[//]]="","",IF(INDEX([6]!NOTA[C],ATALI[[#This Row],[//]]-2)="","",INDEX([6]!NOTA[C],ATALI[[#This Row],[//]]-2)))</f>
        <v>2</v>
      </c>
      <c r="L69" s="6">
        <f ca="1">IF(ATALI[[#This Row],[//]]="","",INDEX([6]!NOTA[QTY],ATALI[[#This Row],[//]]-2))</f>
        <v>576</v>
      </c>
      <c r="M69" s="6" t="str">
        <f ca="1">IF(ATALI[[#This Row],[//]]="","",INDEX([6]!NOTA[STN],ATALI[[#This Row],[//]]-2))</f>
        <v>SET</v>
      </c>
      <c r="N69" s="5">
        <f ca="1">IF(ATALI[[#This Row],[//]]="","",INDEX([6]!NOTA[HARGA SATUAN],ATALI[[#This Row],[//]]-2))</f>
        <v>5400</v>
      </c>
      <c r="O69" s="8">
        <f ca="1">IF(ATALI[[#This Row],[//]]="","",INDEX([6]!NOTA[DISC 1],ATALI[[#This Row],[//]]-2))</f>
        <v>0.125</v>
      </c>
      <c r="P69" s="8">
        <f ca="1">IF(ATALI[[#This Row],[//]]="","",INDEX([6]!NOTA[DISC 2],ATALI[[#This Row],[//]]-2))</f>
        <v>0.05</v>
      </c>
      <c r="Q69" s="5">
        <f ca="1">IF(ATALI[[#This Row],[//]]="","",INDEX([6]!NOTA[TOTAL],ATALI[[#This Row],[//]]-2))</f>
        <v>2585520</v>
      </c>
      <c r="R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4" t="str">
        <f ca="1">IF(ATALI[[#This Row],[//]]="","",INDEX([6]!NOTA[NAMA BARANG],ATALI[[#This Row],[//]]-2))</f>
        <v>COLOR PENCIL CP-107 JK</v>
      </c>
      <c r="V69" s="4" t="str">
        <f ca="1">LOWER(SUBSTITUTE(SUBSTITUTE(SUBSTITUTE(SUBSTITUTE(SUBSTITUTE(SUBSTITUTE(SUBSTITUTE(ATALI[[#This Row],[N.B.nota]]," ",""),"-",""),"(",""),")",""),".",""),",",""),"/",""))</f>
        <v>colorpencilcp107jk</v>
      </c>
      <c r="W69" s="4" t="s">
        <v>137</v>
      </c>
      <c r="X69" s="4" t="str">
        <f ca="1">IF(ATALI[[#This Row],[N.B.nota]]="","",ADDRESS(ROW(ATALI[QB]),COLUMN(ATALI[QB]))&amp;":"&amp;ADDRESS(ROW(),COLUMN(ATALI[QB])))</f>
        <v>$D$3:$D$69</v>
      </c>
      <c r="Y69" s="14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NOTA]]="","",HYPERLINK("[NOTA_.xlsx]NOTA!e"&amp;INDEX([6]!PAJAK[//],MATCH(ATALI[[#This Row],[ID NOTA]],[6]!PAJAK[ID],0)),"&gt;") )</f>
        <v/>
      </c>
      <c r="D70" s="6" t="str">
        <f>IF(ATALI[[#This Row],[ID NOTA]]="","",INDEX(Table1[QB],MATCH(ATALI[[#This Row],[ID NOTA]],Table1[ID],0)))</f>
        <v/>
      </c>
      <c r="E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544</v>
      </c>
      <c r="F70" s="6"/>
      <c r="G70" s="3" t="str">
        <f>IF(ATALI[[#This Row],[ID NOTA]]="","",INDEX([6]!NOTA[TGL_H],MATCH(ATALI[[#This Row],[ID NOTA]],[6]!NOTA[ID],0)))</f>
        <v/>
      </c>
      <c r="H70" s="3" t="str">
        <f>IF(ATALI[[#This Row],[ID NOTA]]="","",INDEX([6]!NOTA[TGL.NOTA],MATCH(ATALI[[#This Row],[ID NOTA]],[6]!NOTA[ID],0)))</f>
        <v/>
      </c>
      <c r="I70" s="4" t="str">
        <f>IF(ATALI[[#This Row],[ID NOTA]]="","",INDEX([6]!NOTA[NO.NOTA],MATCH(ATALI[[#This Row],[ID NOTA]],[6]!NOTA[ID],0)))</f>
        <v/>
      </c>
      <c r="J70" s="4" t="s">
        <v>294</v>
      </c>
      <c r="K70" s="6">
        <f ca="1">IF(ATALI[[#This Row],[//]]="","",IF(INDEX([6]!NOTA[C],ATALI[[#This Row],[//]]-2)="","",INDEX([6]!NOTA[C],ATALI[[#This Row],[//]]-2)))</f>
        <v>1</v>
      </c>
      <c r="L70" s="6">
        <f ca="1">IF(ATALI[[#This Row],[//]]="","",INDEX([6]!NOTA[QTY],ATALI[[#This Row],[//]]-2))</f>
        <v>72</v>
      </c>
      <c r="M70" s="6" t="str">
        <f ca="1">IF(ATALI[[#This Row],[//]]="","",INDEX([6]!NOTA[STN],ATALI[[#This Row],[//]]-2))</f>
        <v>PCS</v>
      </c>
      <c r="N70" s="5">
        <f ca="1">IF(ATALI[[#This Row],[//]]="","",INDEX([6]!NOTA[HARGA SATUAN],ATALI[[#This Row],[//]]-2))</f>
        <v>34500</v>
      </c>
      <c r="O70" s="8">
        <f ca="1">IF(ATALI[[#This Row],[//]]="","",INDEX([6]!NOTA[DISC 1],ATALI[[#This Row],[//]]-2))</f>
        <v>0.125</v>
      </c>
      <c r="P70" s="8">
        <f ca="1">IF(ATALI[[#This Row],[//]]="","",INDEX([6]!NOTA[DISC 2],ATALI[[#This Row],[//]]-2))</f>
        <v>0.05</v>
      </c>
      <c r="Q70" s="5">
        <f ca="1">IF(ATALI[[#This Row],[//]]="","",INDEX([6]!NOTA[TOTAL],ATALI[[#This Row],[//]]-2))</f>
        <v>2064825</v>
      </c>
      <c r="R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4" t="str">
        <f ca="1">IF(ATALI[[#This Row],[//]]="","",INDEX([6]!NOTA[NAMA BARANG],ATALI[[#This Row],[//]]-2))</f>
        <v>GUN TACKER GT-700 JK</v>
      </c>
      <c r="V70" s="4" t="str">
        <f ca="1">LOWER(SUBSTITUTE(SUBSTITUTE(SUBSTITUTE(SUBSTITUTE(SUBSTITUTE(SUBSTITUTE(SUBSTITUTE(ATALI[[#This Row],[N.B.nota]]," ",""),"-",""),"(",""),")",""),".",""),",",""),"/",""))</f>
        <v>guntackergt700jk</v>
      </c>
      <c r="W70" s="4" t="s">
        <v>137</v>
      </c>
      <c r="X70" s="4" t="str">
        <f ca="1">IF(ATALI[[#This Row],[N.B.nota]]="","",ADDRESS(ROW(ATALI[QB]),COLUMN(ATALI[QB]))&amp;":"&amp;ADDRESS(ROW(),COLUMN(ATALI[QB])))</f>
        <v>$D$3:$D$70</v>
      </c>
      <c r="Y70" s="14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NOTA]]="","",HYPERLINK("[NOTA_.xlsx]NOTA!e"&amp;INDEX([6]!PAJAK[//],MATCH(ATALI[[#This Row],[ID NOTA]],[6]!PAJAK[ID],0)),"&gt;") )</f>
        <v/>
      </c>
      <c r="D71" s="6" t="str">
        <f>IF(ATALI[[#This Row],[ID NOTA]]="","",INDEX(Table1[QB],MATCH(ATALI[[#This Row],[ID NOTA]],Table1[ID],0)))</f>
        <v/>
      </c>
      <c r="E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545</v>
      </c>
      <c r="F71" s="6"/>
      <c r="G71" s="3" t="str">
        <f>IF(ATALI[[#This Row],[ID NOTA]]="","",INDEX([6]!NOTA[TGL_H],MATCH(ATALI[[#This Row],[ID NOTA]],[6]!NOTA[ID],0)))</f>
        <v/>
      </c>
      <c r="H71" s="3" t="str">
        <f>IF(ATALI[[#This Row],[ID NOTA]]="","",INDEX([6]!NOTA[TGL.NOTA],MATCH(ATALI[[#This Row],[ID NOTA]],[6]!NOTA[ID],0)))</f>
        <v/>
      </c>
      <c r="I71" s="4" t="str">
        <f>IF(ATALI[[#This Row],[ID NOTA]]="","",INDEX([6]!NOTA[NO.NOTA],MATCH(ATALI[[#This Row],[ID NOTA]],[6]!NOTA[ID],0)))</f>
        <v/>
      </c>
      <c r="J71" s="4" t="s">
        <v>295</v>
      </c>
      <c r="K71" s="6">
        <f ca="1">IF(ATALI[[#This Row],[//]]="","",IF(INDEX([6]!NOTA[C],ATALI[[#This Row],[//]]-2)="","",INDEX([6]!NOTA[C],ATALI[[#This Row],[//]]-2)))</f>
        <v>1</v>
      </c>
      <c r="L71" s="6">
        <f ca="1">IF(ATALI[[#This Row],[//]]="","",INDEX([6]!NOTA[QTY],ATALI[[#This Row],[//]]-2))</f>
        <v>24</v>
      </c>
      <c r="M71" s="6" t="str">
        <f ca="1">IF(ATALI[[#This Row],[//]]="","",INDEX([6]!NOTA[STN],ATALI[[#This Row],[//]]-2))</f>
        <v>PCS</v>
      </c>
      <c r="N71" s="5">
        <f ca="1">IF(ATALI[[#This Row],[//]]="","",INDEX([6]!NOTA[HARGA SATUAN],ATALI[[#This Row],[//]]-2))</f>
        <v>97000</v>
      </c>
      <c r="O71" s="8">
        <f ca="1">IF(ATALI[[#This Row],[//]]="","",INDEX([6]!NOTA[DISC 1],ATALI[[#This Row],[//]]-2))</f>
        <v>0.125</v>
      </c>
      <c r="P71" s="8">
        <f ca="1">IF(ATALI[[#This Row],[//]]="","",INDEX([6]!NOTA[DISC 2],ATALI[[#This Row],[//]]-2))</f>
        <v>0.05</v>
      </c>
      <c r="Q71" s="5">
        <f ca="1">IF(ATALI[[#This Row],[//]]="","",INDEX([6]!NOTA[TOTAL],ATALI[[#This Row],[//]]-2))</f>
        <v>1935150</v>
      </c>
      <c r="R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4" t="str">
        <f ca="1">IF(ATALI[[#This Row],[//]]="","",INDEX([6]!NOTA[NAMA BARANG],ATALI[[#This Row],[//]]-2))</f>
        <v>GUN TACKER GT-701 JK</v>
      </c>
      <c r="V71" s="4" t="str">
        <f ca="1">LOWER(SUBSTITUTE(SUBSTITUTE(SUBSTITUTE(SUBSTITUTE(SUBSTITUTE(SUBSTITUTE(SUBSTITUTE(ATALI[[#This Row],[N.B.nota]]," ",""),"-",""),"(",""),")",""),".",""),",",""),"/",""))</f>
        <v>guntackergt701jk</v>
      </c>
      <c r="W71" s="4" t="s">
        <v>137</v>
      </c>
      <c r="X71" s="4" t="str">
        <f ca="1">IF(ATALI[[#This Row],[N.B.nota]]="","",ADDRESS(ROW(ATALI[QB]),COLUMN(ATALI[QB]))&amp;":"&amp;ADDRESS(ROW(),COLUMN(ATALI[QB])))</f>
        <v>$D$3:$D$71</v>
      </c>
      <c r="Y71" s="14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NOTA]]="","",HYPERLINK("[NOTA_.xlsx]NOTA!e"&amp;INDEX([6]!PAJAK[//],MATCH(ATALI[[#This Row],[ID NOTA]],[6]!PAJAK[ID],0)),"&gt;") )</f>
        <v/>
      </c>
      <c r="D72" s="6" t="str">
        <f>IF(ATALI[[#This Row],[ID NOTA]]="","",INDEX(Table1[QB],MATCH(ATALI[[#This Row],[ID NOTA]],Table1[ID],0)))</f>
        <v/>
      </c>
      <c r="E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546</v>
      </c>
      <c r="F72" s="6"/>
      <c r="G72" s="3" t="str">
        <f>IF(ATALI[[#This Row],[ID NOTA]]="","",INDEX([6]!NOTA[TGL_H],MATCH(ATALI[[#This Row],[ID NOTA]],[6]!NOTA[ID],0)))</f>
        <v/>
      </c>
      <c r="H72" s="3" t="str">
        <f>IF(ATALI[[#This Row],[ID NOTA]]="","",INDEX([6]!NOTA[TGL.NOTA],MATCH(ATALI[[#This Row],[ID NOTA]],[6]!NOTA[ID],0)))</f>
        <v/>
      </c>
      <c r="I72" s="4" t="str">
        <f>IF(ATALI[[#This Row],[ID NOTA]]="","",INDEX([6]!NOTA[NO.NOTA],MATCH(ATALI[[#This Row],[ID NOTA]],[6]!NOTA[ID],0)))</f>
        <v/>
      </c>
      <c r="J72" s="4" t="s">
        <v>296</v>
      </c>
      <c r="K72" s="6">
        <f ca="1">IF(ATALI[[#This Row],[//]]="","",IF(INDEX([6]!NOTA[C],ATALI[[#This Row],[//]]-2)="","",INDEX([6]!NOTA[C],ATALI[[#This Row],[//]]-2)))</f>
        <v>1</v>
      </c>
      <c r="L72" s="6">
        <f ca="1">IF(ATALI[[#This Row],[//]]="","",INDEX([6]!NOTA[QTY],ATALI[[#This Row],[//]]-2))</f>
        <v>20</v>
      </c>
      <c r="M72" s="6" t="str">
        <f ca="1">IF(ATALI[[#This Row],[//]]="","",INDEX([6]!NOTA[STN],ATALI[[#This Row],[//]]-2))</f>
        <v>PCS</v>
      </c>
      <c r="N72" s="5">
        <f ca="1">IF(ATALI[[#This Row],[//]]="","",INDEX([6]!NOTA[HARGA SATUAN],ATALI[[#This Row],[//]]-2))</f>
        <v>40500</v>
      </c>
      <c r="O72" s="8">
        <f ca="1">IF(ATALI[[#This Row],[//]]="","",INDEX([6]!NOTA[DISC 1],ATALI[[#This Row],[//]]-2))</f>
        <v>0.125</v>
      </c>
      <c r="P72" s="8">
        <f ca="1">IF(ATALI[[#This Row],[//]]="","",INDEX([6]!NOTA[DISC 2],ATALI[[#This Row],[//]]-2))</f>
        <v>0.05</v>
      </c>
      <c r="Q72" s="5">
        <f ca="1">IF(ATALI[[#This Row],[//]]="","",INDEX([6]!NOTA[TOTAL],ATALI[[#This Row],[//]]-2))</f>
        <v>673312.5</v>
      </c>
      <c r="R7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4" t="str">
        <f ca="1">IF(ATALI[[#This Row],[//]]="","",INDEX([6]!NOTA[NAMA BARANG],ATALI[[#This Row],[//]]-2))</f>
        <v>LABELLER MX-5500M (8 DIGITS) JK</v>
      </c>
      <c r="V72" s="4" t="str">
        <f ca="1">LOWER(SUBSTITUTE(SUBSTITUTE(SUBSTITUTE(SUBSTITUTE(SUBSTITUTE(SUBSTITUTE(SUBSTITUTE(ATALI[[#This Row],[N.B.nota]]," ",""),"-",""),"(",""),")",""),".",""),",",""),"/",""))</f>
        <v>labellermx5500m8digitsjk</v>
      </c>
      <c r="W72" s="4" t="s">
        <v>137</v>
      </c>
      <c r="X72" s="4" t="str">
        <f ca="1">IF(ATALI[[#This Row],[N.B.nota]]="","",ADDRESS(ROW(ATALI[QB]),COLUMN(ATALI[QB]))&amp;":"&amp;ADDRESS(ROW(),COLUMN(ATALI[QB])))</f>
        <v>$D$3:$D$72</v>
      </c>
      <c r="Y72" s="14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NOTA]]="","",HYPERLINK("[NOTA_.xlsx]NOTA!e"&amp;INDEX([6]!PAJAK[//],MATCH(ATALI[[#This Row],[ID NOTA]],[6]!PAJAK[ID],0)),"&gt;") )</f>
        <v/>
      </c>
      <c r="D73" s="6" t="str">
        <f>IF(ATALI[[#This Row],[ID NOTA]]="","",INDEX(Table1[QB],MATCH(ATALI[[#This Row],[ID NOTA]],Table1[ID],0)))</f>
        <v/>
      </c>
      <c r="E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547</v>
      </c>
      <c r="F73" s="6"/>
      <c r="G73" s="3" t="str">
        <f>IF(ATALI[[#This Row],[ID NOTA]]="","",INDEX([6]!NOTA[TGL_H],MATCH(ATALI[[#This Row],[ID NOTA]],[6]!NOTA[ID],0)))</f>
        <v/>
      </c>
      <c r="H73" s="3" t="str">
        <f>IF(ATALI[[#This Row],[ID NOTA]]="","",INDEX([6]!NOTA[TGL.NOTA],MATCH(ATALI[[#This Row],[ID NOTA]],[6]!NOTA[ID],0)))</f>
        <v/>
      </c>
      <c r="I73" s="4" t="str">
        <f>IF(ATALI[[#This Row],[ID NOTA]]="","",INDEX([6]!NOTA[NO.NOTA],MATCH(ATALI[[#This Row],[ID NOTA]],[6]!NOTA[ID],0)))</f>
        <v/>
      </c>
      <c r="J73" s="4" t="s">
        <v>277</v>
      </c>
      <c r="K73" s="6">
        <f ca="1">IF(ATALI[[#This Row],[//]]="","",IF(INDEX([6]!NOTA[C],ATALI[[#This Row],[//]]-2)="","",INDEX([6]!NOTA[C],ATALI[[#This Row],[//]]-2)))</f>
        <v>2</v>
      </c>
      <c r="L73" s="6">
        <f ca="1">IF(ATALI[[#This Row],[//]]="","",INDEX([6]!NOTA[QTY],ATALI[[#This Row],[//]]-2))</f>
        <v>2000</v>
      </c>
      <c r="M73" s="6" t="str">
        <f ca="1">IF(ATALI[[#This Row],[//]]="","",INDEX([6]!NOTA[STN],ATALI[[#This Row],[//]]-2))</f>
        <v>ROL</v>
      </c>
      <c r="N73" s="5">
        <f ca="1">IF(ATALI[[#This Row],[//]]="","",INDEX([6]!NOTA[HARGA SATUAN],ATALI[[#This Row],[//]]-2))</f>
        <v>2050</v>
      </c>
      <c r="O73" s="8">
        <f ca="1">IF(ATALI[[#This Row],[//]]="","",INDEX([6]!NOTA[DISC 1],ATALI[[#This Row],[//]]-2))</f>
        <v>0.125</v>
      </c>
      <c r="P73" s="8">
        <f ca="1">IF(ATALI[[#This Row],[//]]="","",INDEX([6]!NOTA[DISC 2],ATALI[[#This Row],[//]]-2))</f>
        <v>0.05</v>
      </c>
      <c r="Q73" s="5">
        <f ca="1">IF(ATALI[[#This Row],[//]]="","",INDEX([6]!NOTA[TOTAL],ATALI[[#This Row],[//]]-2))</f>
        <v>3408125</v>
      </c>
      <c r="R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4" t="str">
        <f ca="1">IF(ATALI[[#This Row],[//]]="","",INDEX([6]!NOTA[NAMA BARANG],ATALI[[#This Row],[//]]-2))</f>
        <v>LABEL LB-2RL (1 BARIS) JK</v>
      </c>
      <c r="V73" s="4" t="str">
        <f ca="1">LOWER(SUBSTITUTE(SUBSTITUTE(SUBSTITUTE(SUBSTITUTE(SUBSTITUTE(SUBSTITUTE(SUBSTITUTE(ATALI[[#This Row],[N.B.nota]]," ",""),"-",""),"(",""),")",""),".",""),",",""),"/",""))</f>
        <v>labellb2rl1barisjk</v>
      </c>
      <c r="W73" s="4" t="s">
        <v>137</v>
      </c>
      <c r="X73" s="4" t="str">
        <f ca="1">IF(ATALI[[#This Row],[N.B.nota]]="","",ADDRESS(ROW(ATALI[QB]),COLUMN(ATALI[QB]))&amp;":"&amp;ADDRESS(ROW(),COLUMN(ATALI[QB])))</f>
        <v>$D$3:$D$73</v>
      </c>
      <c r="Y73" s="14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NOTA]]="","",HYPERLINK("[NOTA_.xlsx]NOTA!e"&amp;INDEX([6]!PAJAK[//],MATCH(ATALI[[#This Row],[ID NOTA]],[6]!PAJAK[ID],0)),"&gt;") )</f>
        <v/>
      </c>
      <c r="D74" s="6" t="str">
        <f>IF(ATALI[[#This Row],[ID NOTA]]="","",INDEX(Table1[QB],MATCH(ATALI[[#This Row],[ID NOTA]],Table1[ID],0)))</f>
        <v/>
      </c>
      <c r="E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548</v>
      </c>
      <c r="F74" s="6"/>
      <c r="G74" s="3" t="str">
        <f>IF(ATALI[[#This Row],[ID NOTA]]="","",INDEX([6]!NOTA[TGL_H],MATCH(ATALI[[#This Row],[ID NOTA]],[6]!NOTA[ID],0)))</f>
        <v/>
      </c>
      <c r="H74" s="3" t="str">
        <f>IF(ATALI[[#This Row],[ID NOTA]]="","",INDEX([6]!NOTA[TGL.NOTA],MATCH(ATALI[[#This Row],[ID NOTA]],[6]!NOTA[ID],0)))</f>
        <v/>
      </c>
      <c r="I74" s="4" t="str">
        <f>IF(ATALI[[#This Row],[ID NOTA]]="","",INDEX([6]!NOTA[NO.NOTA],MATCH(ATALI[[#This Row],[ID NOTA]],[6]!NOTA[ID],0)))</f>
        <v/>
      </c>
      <c r="J74" s="4" t="s">
        <v>272</v>
      </c>
      <c r="K74" s="6">
        <f ca="1">IF(ATALI[[#This Row],[//]]="","",IF(INDEX([6]!NOTA[C],ATALI[[#This Row],[//]]-2)="","",INDEX([6]!NOTA[C],ATALI[[#This Row],[//]]-2)))</f>
        <v>5</v>
      </c>
      <c r="L74" s="6">
        <f ca="1">IF(ATALI[[#This Row],[//]]="","",INDEX([6]!NOTA[QTY],ATALI[[#This Row],[//]]-2))</f>
        <v>100</v>
      </c>
      <c r="M74" s="6" t="str">
        <f ca="1">IF(ATALI[[#This Row],[//]]="","",INDEX([6]!NOTA[STN],ATALI[[#This Row],[//]]-2))</f>
        <v>DZ</v>
      </c>
      <c r="N74" s="5">
        <f ca="1">IF(ATALI[[#This Row],[//]]="","",INDEX([6]!NOTA[HARGA SATUAN],ATALI[[#This Row],[//]]-2))</f>
        <v>85200</v>
      </c>
      <c r="O74" s="8">
        <f ca="1">IF(ATALI[[#This Row],[//]]="","",INDEX([6]!NOTA[DISC 1],ATALI[[#This Row],[//]]-2))</f>
        <v>0.125</v>
      </c>
      <c r="P74" s="8">
        <f ca="1">IF(ATALI[[#This Row],[//]]="","",INDEX([6]!NOTA[DISC 2],ATALI[[#This Row],[//]]-2))</f>
        <v>0.05</v>
      </c>
      <c r="Q74" s="5">
        <f ca="1">IF(ATALI[[#This Row],[//]]="","",INDEX([6]!NOTA[TOTAL],ATALI[[#This Row],[//]]-2))</f>
        <v>7082250</v>
      </c>
      <c r="R7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4" t="str">
        <f ca="1">IF(ATALI[[#This Row],[//]]="","",INDEX([6]!NOTA[NAMA BARANG],ATALI[[#This Row],[//]]-2))</f>
        <v>STAPLER HD-10 JK</v>
      </c>
      <c r="V74" s="4" t="str">
        <f ca="1">LOWER(SUBSTITUTE(SUBSTITUTE(SUBSTITUTE(SUBSTITUTE(SUBSTITUTE(SUBSTITUTE(SUBSTITUTE(ATALI[[#This Row],[N.B.nota]]," ",""),"-",""),"(",""),")",""),".",""),",",""),"/",""))</f>
        <v>staplerhd10jk</v>
      </c>
      <c r="W74" s="4" t="s">
        <v>137</v>
      </c>
      <c r="X74" s="4" t="str">
        <f ca="1">IF(ATALI[[#This Row],[N.B.nota]]="","",ADDRESS(ROW(ATALI[QB]),COLUMN(ATALI[QB]))&amp;":"&amp;ADDRESS(ROW(),COLUMN(ATALI[QB])))</f>
        <v>$D$3:$D$74</v>
      </c>
      <c r="Y74" s="14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NOTA]]="","",HYPERLINK("[NOTA_.xlsx]NOTA!e"&amp;INDEX([6]!PAJAK[//],MATCH(ATALI[[#This Row],[ID NOTA]],[6]!PAJAK[ID],0)),"&gt;") )</f>
        <v/>
      </c>
      <c r="D75" s="6" t="str">
        <f>IF(ATALI[[#This Row],[ID NOTA]]="","",INDEX(Table1[QB],MATCH(ATALI[[#This Row],[ID NOTA]],Table1[ID],0)))</f>
        <v/>
      </c>
      <c r="E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549</v>
      </c>
      <c r="F75" s="6"/>
      <c r="G75" s="3" t="str">
        <f>IF(ATALI[[#This Row],[ID NOTA]]="","",INDEX([6]!NOTA[TGL_H],MATCH(ATALI[[#This Row],[ID NOTA]],[6]!NOTA[ID],0)))</f>
        <v/>
      </c>
      <c r="H75" s="3" t="str">
        <f>IF(ATALI[[#This Row],[ID NOTA]]="","",INDEX([6]!NOTA[TGL.NOTA],MATCH(ATALI[[#This Row],[ID NOTA]],[6]!NOTA[ID],0)))</f>
        <v/>
      </c>
      <c r="I75" s="4" t="str">
        <f>IF(ATALI[[#This Row],[ID NOTA]]="","",INDEX([6]!NOTA[NO.NOTA],MATCH(ATALI[[#This Row],[ID NOTA]],[6]!NOTA[ID],0)))</f>
        <v/>
      </c>
      <c r="J75" s="4" t="s">
        <v>297</v>
      </c>
      <c r="K75" s="6">
        <f ca="1">IF(ATALI[[#This Row],[//]]="","",IF(INDEX([6]!NOTA[C],ATALI[[#This Row],[//]]-2)="","",INDEX([6]!NOTA[C],ATALI[[#This Row],[//]]-2)))</f>
        <v>5</v>
      </c>
      <c r="L75" s="6">
        <f ca="1">IF(ATALI[[#This Row],[//]]="","",INDEX([6]!NOTA[QTY],ATALI[[#This Row],[//]]-2))</f>
        <v>60</v>
      </c>
      <c r="M75" s="6" t="str">
        <f ca="1">IF(ATALI[[#This Row],[//]]="","",INDEX([6]!NOTA[STN],ATALI[[#This Row],[//]]-2))</f>
        <v>GRS</v>
      </c>
      <c r="N75" s="5">
        <f ca="1">IF(ATALI[[#This Row],[//]]="","",INDEX([6]!NOTA[HARGA SATUAN],ATALI[[#This Row],[//]]-2))</f>
        <v>176400</v>
      </c>
      <c r="O75" s="8">
        <f ca="1">IF(ATALI[[#This Row],[//]]="","",INDEX([6]!NOTA[DISC 1],ATALI[[#This Row],[//]]-2))</f>
        <v>0.125</v>
      </c>
      <c r="P75" s="8">
        <f ca="1">IF(ATALI[[#This Row],[//]]="","",INDEX([6]!NOTA[DISC 2],ATALI[[#This Row],[//]]-2))</f>
        <v>0.05</v>
      </c>
      <c r="Q75" s="5">
        <f ca="1">IF(ATALI[[#This Row],[//]]="","",INDEX([6]!NOTA[TOTAL],ATALI[[#This Row],[//]]-2))</f>
        <v>8797950</v>
      </c>
      <c r="R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4" t="str">
        <f ca="1">IF(ATALI[[#This Row],[//]]="","",INDEX([6]!NOTA[NAMA BARANG],ATALI[[#This Row],[//]]-2))</f>
        <v>PENCIL LEAD PL-05 (2B) JK</v>
      </c>
      <c r="V75" s="4" t="str">
        <f ca="1">LOWER(SUBSTITUTE(SUBSTITUTE(SUBSTITUTE(SUBSTITUTE(SUBSTITUTE(SUBSTITUTE(SUBSTITUTE(ATALI[[#This Row],[N.B.nota]]," ",""),"-",""),"(",""),")",""),".",""),",",""),"/",""))</f>
        <v>pencilleadpl052bjk</v>
      </c>
      <c r="W75" s="4" t="s">
        <v>137</v>
      </c>
      <c r="X75" s="4" t="str">
        <f ca="1">IF(ATALI[[#This Row],[N.B.nota]]="","",ADDRESS(ROW(ATALI[QB]),COLUMN(ATALI[QB]))&amp;":"&amp;ADDRESS(ROW(),COLUMN(ATALI[QB])))</f>
        <v>$D$3:$D$75</v>
      </c>
      <c r="Y75" s="14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NOTA]]="","",HYPERLINK("[NOTA_.xlsx]NOTA!e"&amp;INDEX([6]!PAJAK[//],MATCH(ATALI[[#This Row],[ID NOTA]],[6]!PAJAK[ID],0)),"&gt;") )</f>
        <v/>
      </c>
      <c r="D76" s="6" t="str">
        <f>IF(ATALI[[#This Row],[ID NOTA]]="","",INDEX(Table1[QB],MATCH(ATALI[[#This Row],[ID NOTA]],Table1[ID],0)))</f>
        <v/>
      </c>
      <c r="E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550</v>
      </c>
      <c r="F76" s="6"/>
      <c r="G76" s="3" t="str">
        <f>IF(ATALI[[#This Row],[ID NOTA]]="","",INDEX([6]!NOTA[TGL_H],MATCH(ATALI[[#This Row],[ID NOTA]],[6]!NOTA[ID],0)))</f>
        <v/>
      </c>
      <c r="H76" s="3" t="str">
        <f>IF(ATALI[[#This Row],[ID NOTA]]="","",INDEX([6]!NOTA[TGL.NOTA],MATCH(ATALI[[#This Row],[ID NOTA]],[6]!NOTA[ID],0)))</f>
        <v/>
      </c>
      <c r="I76" s="4" t="str">
        <f>IF(ATALI[[#This Row],[ID NOTA]]="","",INDEX([6]!NOTA[NO.NOTA],MATCH(ATALI[[#This Row],[ID NOTA]],[6]!NOTA[ID],0)))</f>
        <v/>
      </c>
      <c r="J76" s="4" t="s">
        <v>252</v>
      </c>
      <c r="K76" s="6">
        <f ca="1">IF(ATALI[[#This Row],[//]]="","",IF(INDEX([6]!NOTA[C],ATALI[[#This Row],[//]]-2)="","",INDEX([6]!NOTA[C],ATALI[[#This Row],[//]]-2)))</f>
        <v>10</v>
      </c>
      <c r="L76" s="6">
        <f ca="1">IF(ATALI[[#This Row],[//]]="","",INDEX([6]!NOTA[QTY],ATALI[[#This Row],[//]]-2))</f>
        <v>240</v>
      </c>
      <c r="M76" s="6" t="str">
        <f ca="1">IF(ATALI[[#This Row],[//]]="","",INDEX([6]!NOTA[STN],ATALI[[#This Row],[//]]-2))</f>
        <v>PCS</v>
      </c>
      <c r="N76" s="5">
        <f ca="1">IF(ATALI[[#This Row],[//]]="","",INDEX([6]!NOTA[HARGA SATUAN],ATALI[[#This Row],[//]]-2))</f>
        <v>18800</v>
      </c>
      <c r="O76" s="8">
        <f ca="1">IF(ATALI[[#This Row],[//]]="","",INDEX([6]!NOTA[DISC 1],ATALI[[#This Row],[//]]-2))</f>
        <v>0.125</v>
      </c>
      <c r="P76" s="8">
        <f ca="1">IF(ATALI[[#This Row],[//]]="","",INDEX([6]!NOTA[DISC 2],ATALI[[#This Row],[//]]-2))</f>
        <v>0.05</v>
      </c>
      <c r="Q76" s="5">
        <f ca="1">IF(ATALI[[#This Row],[//]]="","",INDEX([6]!NOTA[TOTAL],ATALI[[#This Row],[//]]-2))</f>
        <v>3750600</v>
      </c>
      <c r="R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4" t="str">
        <f ca="1">IF(ATALI[[#This Row],[//]]="","",INDEX([6]!NOTA[NAMA BARANG],ATALI[[#This Row],[//]]-2))</f>
        <v>TAPE CUTTER TD-103 JK</v>
      </c>
      <c r="V76" s="4" t="str">
        <f ca="1">LOWER(SUBSTITUTE(SUBSTITUTE(SUBSTITUTE(SUBSTITUTE(SUBSTITUTE(SUBSTITUTE(SUBSTITUTE(ATALI[[#This Row],[N.B.nota]]," ",""),"-",""),"(",""),")",""),".",""),",",""),"/",""))</f>
        <v>tapecuttertd103jk</v>
      </c>
      <c r="W76" s="4" t="s">
        <v>137</v>
      </c>
      <c r="X76" s="4" t="str">
        <f ca="1">IF(ATALI[[#This Row],[N.B.nota]]="","",ADDRESS(ROW(ATALI[QB]),COLUMN(ATALI[QB]))&amp;":"&amp;ADDRESS(ROW(),COLUMN(ATALI[QB])))</f>
        <v>$D$3:$D$76</v>
      </c>
      <c r="Y76" s="14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NOTA]]="","",HYPERLINK("[NOTA_.xlsx]NOTA!e"&amp;INDEX([6]!PAJAK[//],MATCH(ATALI[[#This Row],[ID NOTA]],[6]!PAJAK[ID],0)),"&gt;") )</f>
        <v/>
      </c>
      <c r="D77" s="6" t="str">
        <f>IF(ATALI[[#This Row],[ID NOTA]]="","",INDEX(Table1[QB],MATCH(ATALI[[#This Row],[ID NOTA]],Table1[ID],0)))</f>
        <v/>
      </c>
      <c r="E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551</v>
      </c>
      <c r="F77" s="6"/>
      <c r="G77" s="3" t="str">
        <f>IF(ATALI[[#This Row],[ID NOTA]]="","",INDEX([6]!NOTA[TGL_H],MATCH(ATALI[[#This Row],[ID NOTA]],[6]!NOTA[ID],0)))</f>
        <v/>
      </c>
      <c r="H77" s="3" t="str">
        <f>IF(ATALI[[#This Row],[ID NOTA]]="","",INDEX([6]!NOTA[TGL.NOTA],MATCH(ATALI[[#This Row],[ID NOTA]],[6]!NOTA[ID],0)))</f>
        <v/>
      </c>
      <c r="I77" s="4" t="str">
        <f>IF(ATALI[[#This Row],[ID NOTA]]="","",INDEX([6]!NOTA[NO.NOTA],MATCH(ATALI[[#This Row],[ID NOTA]],[6]!NOTA[ID],0)))</f>
        <v/>
      </c>
      <c r="J77" s="4" t="s">
        <v>298</v>
      </c>
      <c r="K77" s="6">
        <f ca="1">IF(ATALI[[#This Row],[//]]="","",IF(INDEX([6]!NOTA[C],ATALI[[#This Row],[//]]-2)="","",INDEX([6]!NOTA[C],ATALI[[#This Row],[//]]-2)))</f>
        <v>5</v>
      </c>
      <c r="L77" s="6">
        <f ca="1">IF(ATALI[[#This Row],[//]]="","",INDEX([6]!NOTA[QTY],ATALI[[#This Row],[//]]-2))</f>
        <v>120</v>
      </c>
      <c r="M77" s="6" t="str">
        <f ca="1">IF(ATALI[[#This Row],[//]]="","",INDEX([6]!NOTA[STN],ATALI[[#This Row],[//]]-2))</f>
        <v>PCS</v>
      </c>
      <c r="N77" s="5">
        <f ca="1">IF(ATALI[[#This Row],[//]]="","",INDEX([6]!NOTA[HARGA SATUAN],ATALI[[#This Row],[//]]-2))</f>
        <v>10600</v>
      </c>
      <c r="O77" s="8">
        <f ca="1">IF(ATALI[[#This Row],[//]]="","",INDEX([6]!NOTA[DISC 1],ATALI[[#This Row],[//]]-2))</f>
        <v>0.125</v>
      </c>
      <c r="P77" s="8">
        <f ca="1">IF(ATALI[[#This Row],[//]]="","",INDEX([6]!NOTA[DISC 2],ATALI[[#This Row],[//]]-2))</f>
        <v>0.05</v>
      </c>
      <c r="Q77" s="5">
        <f ca="1">IF(ATALI[[#This Row],[//]]="","",INDEX([6]!NOTA[TOTAL],ATALI[[#This Row],[//]]-2))</f>
        <v>1057350</v>
      </c>
      <c r="R7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7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35377002.5</v>
      </c>
      <c r="T7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4" t="str">
        <f ca="1">IF(ATALI[[#This Row],[//]]="","",INDEX([6]!NOTA[NAMA BARANG],ATALI[[#This Row],[//]]-2))</f>
        <v>TAPE CUTTER TD-102 JK</v>
      </c>
      <c r="V77" s="4" t="str">
        <f ca="1">LOWER(SUBSTITUTE(SUBSTITUTE(SUBSTITUTE(SUBSTITUTE(SUBSTITUTE(SUBSTITUTE(SUBSTITUTE(ATALI[[#This Row],[N.B.nota]]," ",""),"-",""),"(",""),")",""),".",""),",",""),"/",""))</f>
        <v>tapecuttertd102jk</v>
      </c>
      <c r="W77" s="4" t="s">
        <v>137</v>
      </c>
      <c r="X77" s="4" t="str">
        <f ca="1">IF(ATALI[[#This Row],[N.B.nota]]="","",ADDRESS(ROW(ATALI[QB]),COLUMN(ATALI[QB]))&amp;":"&amp;ADDRESS(ROW(),COLUMN(ATALI[QB])))</f>
        <v>$D$3:$D$77</v>
      </c>
      <c r="Y77" s="14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NOTA]]="","",HYPERLINK("[NOTA_.xlsx]NOTA!e"&amp;INDEX([6]!PAJAK[//],MATCH(ATALI[[#This Row],[ID NOTA]],[6]!PAJAK[ID],0)),"&gt;") )</f>
        <v/>
      </c>
      <c r="D78" s="6" t="str">
        <f>IF(ATALI[[#This Row],[ID NOTA]]="","",INDEX(Table1[QB],MATCH(ATALI[[#This Row],[ID NOTA]],Table1[ID],0)))</f>
        <v/>
      </c>
      <c r="E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" s="6"/>
      <c r="G78" s="3" t="str">
        <f>IF(ATALI[[#This Row],[ID NOTA]]="","",INDEX([6]!NOTA[TGL_H],MATCH(ATALI[[#This Row],[ID NOTA]],[6]!NOTA[ID],0)))</f>
        <v/>
      </c>
      <c r="H78" s="3" t="str">
        <f>IF(ATALI[[#This Row],[ID NOTA]]="","",INDEX([6]!NOTA[TGL.NOTA],MATCH(ATALI[[#This Row],[ID NOTA]],[6]!NOTA[ID],0)))</f>
        <v/>
      </c>
      <c r="I78" s="4" t="str">
        <f>IF(ATALI[[#This Row],[ID NOTA]]="","",INDEX([6]!NOTA[NO.NOTA],MATCH(ATALI[[#This Row],[ID NOTA]],[6]!NOTA[ID],0)))</f>
        <v/>
      </c>
      <c r="J78" s="4" t="s">
        <v>136</v>
      </c>
      <c r="K78" s="6" t="str">
        <f ca="1">IF(ATALI[[#This Row],[//]]="","",IF(INDEX([6]!NOTA[C],ATALI[[#This Row],[//]]-2)="","",INDEX([6]!NOTA[C],ATALI[[#This Row],[//]]-2)))</f>
        <v/>
      </c>
      <c r="L78" s="6" t="str">
        <f ca="1">IF(ATALI[[#This Row],[//]]="","",INDEX([6]!NOTA[QTY],ATALI[[#This Row],[//]]-2))</f>
        <v/>
      </c>
      <c r="M78" s="6" t="str">
        <f ca="1">IF(ATALI[[#This Row],[//]]="","",INDEX([6]!NOTA[STN],ATALI[[#This Row],[//]]-2))</f>
        <v/>
      </c>
      <c r="N78" s="5" t="str">
        <f ca="1">IF(ATALI[[#This Row],[//]]="","",INDEX([6]!NOTA[HARGA SATUAN],ATALI[[#This Row],[//]]-2))</f>
        <v/>
      </c>
      <c r="O78" s="8" t="str">
        <f ca="1">IF(ATALI[[#This Row],[//]]="","",INDEX([6]!NOTA[DISC 1],ATALI[[#This Row],[//]]-2))</f>
        <v/>
      </c>
      <c r="P78" s="8" t="str">
        <f ca="1">IF(ATALI[[#This Row],[//]]="","",INDEX([6]!NOTA[DISC 2],ATALI[[#This Row],[//]]-2))</f>
        <v/>
      </c>
      <c r="Q78" s="5" t="str">
        <f ca="1">IF(ATALI[[#This Row],[//]]="","",INDEX([6]!NOTA[TOTAL],ATALI[[#This Row],[//]]-2))</f>
        <v/>
      </c>
      <c r="R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4" t="str">
        <f ca="1">IF(ATALI[[#This Row],[//]]="","",INDEX([6]!NOTA[NAMA BARANG],ATALI[[#This Row],[//]]-2))</f>
        <v/>
      </c>
      <c r="V78" s="4" t="str">
        <f ca="1">LOWER(SUBSTITUTE(SUBSTITUTE(SUBSTITUTE(SUBSTITUTE(SUBSTITUTE(SUBSTITUTE(SUBSTITUTE(ATALI[[#This Row],[N.B.nota]]," ",""),"-",""),"(",""),")",""),".",""),",",""),"/",""))</f>
        <v/>
      </c>
      <c r="W78" s="4" t="s">
        <v>136</v>
      </c>
      <c r="X78" s="4" t="str">
        <f ca="1">IF(ATALI[[#This Row],[N.B.nota]]="","",ADDRESS(ROW(ATALI[QB]),COLUMN(ATALI[QB]))&amp;":"&amp;ADDRESS(ROW(),COLUMN(ATALI[QB])))</f>
        <v/>
      </c>
      <c r="Y78" s="14" t="str">
        <f ca="1">IF(ATALI[[#This Row],[//]]="","",HYPERLINK("[../DB.xlsx]DB!e"&amp;MATCH(ATALI[[#This Row],[concat]],[4]!db[NB NOTA_C],0)+1,"&gt;"))</f>
        <v/>
      </c>
    </row>
    <row r="79" spans="1:25" x14ac:dyDescent="0.25">
      <c r="A79" s="4" t="s">
        <v>81</v>
      </c>
      <c r="B79" s="6">
        <f ca="1">IF(ATALI[[#This Row],[N_ID]]="","",INDEX(Table1[ID],MATCH(ATALI[[#This Row],[N_ID]],Table1[N_ID],0)))</f>
        <v>104</v>
      </c>
      <c r="C79" s="6" t="str">
        <f ca="1">IF(ATALI[[#This Row],[ID NOTA]]="","",HYPERLINK("[NOTA_.xlsx]NOTA!e"&amp;INDEX([6]!PAJAK[//],MATCH(ATALI[[#This Row],[ID NOTA]],[6]!PAJAK[ID],0)),"&gt;") )</f>
        <v>&gt;</v>
      </c>
      <c r="D79" s="6">
        <f ca="1">IF(ATALI[[#This Row],[ID NOTA]]="","",INDEX(Table1[QB],MATCH(ATALI[[#This Row],[ID NOTA]],Table1[ID],0)))</f>
        <v>10</v>
      </c>
      <c r="E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524</v>
      </c>
      <c r="F79" s="6"/>
      <c r="G79" s="3">
        <f ca="1">IF(ATALI[[#This Row],[ID NOTA]]="","",INDEX([6]!NOTA[TGL_H],MATCH(ATALI[[#This Row],[ID NOTA]],[6]!NOTA[ID],0)))</f>
        <v>44760</v>
      </c>
      <c r="H79" s="3">
        <f ca="1">IF(ATALI[[#This Row],[ID NOTA]]="","",INDEX([6]!NOTA[TGL.NOTA],MATCH(ATALI[[#This Row],[ID NOTA]],[6]!NOTA[ID],0)))</f>
        <v>44755</v>
      </c>
      <c r="I79" s="4" t="str">
        <f ca="1">IF(ATALI[[#This Row],[ID NOTA]]="","",INDEX([6]!NOTA[NO.NOTA],MATCH(ATALI[[#This Row],[ID NOTA]],[6]!NOTA[ID],0)))</f>
        <v>SA220709915</v>
      </c>
      <c r="J79" s="4" t="s">
        <v>299</v>
      </c>
      <c r="K79" s="6">
        <f ca="1">IF(ATALI[[#This Row],[//]]="","",IF(INDEX([6]!NOTA[C],ATALI[[#This Row],[//]]-2)="","",INDEX([6]!NOTA[C],ATALI[[#This Row],[//]]-2)))</f>
        <v>1</v>
      </c>
      <c r="L79" s="6">
        <f ca="1">IF(ATALI[[#This Row],[//]]="","",INDEX([6]!NOTA[QTY],ATALI[[#This Row],[//]]-2))</f>
        <v>72</v>
      </c>
      <c r="M79" s="6" t="str">
        <f ca="1">IF(ATALI[[#This Row],[//]]="","",INDEX([6]!NOTA[STN],ATALI[[#This Row],[//]]-2))</f>
        <v>PCS</v>
      </c>
      <c r="N79" s="5">
        <f ca="1">IF(ATALI[[#This Row],[//]]="","",INDEX([6]!NOTA[HARGA SATUAN],ATALI[[#This Row],[//]]-2))</f>
        <v>15800</v>
      </c>
      <c r="O79" s="8">
        <f ca="1">IF(ATALI[[#This Row],[//]]="","",INDEX([6]!NOTA[DISC 1],ATALI[[#This Row],[//]]-2))</f>
        <v>0.125</v>
      </c>
      <c r="P79" s="8">
        <f ca="1">IF(ATALI[[#This Row],[//]]="","",INDEX([6]!NOTA[DISC 2],ATALI[[#This Row],[//]]-2))</f>
        <v>0.05</v>
      </c>
      <c r="Q79" s="5">
        <f ca="1">IF(ATALI[[#This Row],[//]]="","",INDEX([6]!NOTA[TOTAL],ATALI[[#This Row],[//]]-2))</f>
        <v>945630</v>
      </c>
      <c r="R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4" t="str">
        <f ca="1">IF(ATALI[[#This Row],[//]]="","",INDEX([6]!NOTA[NAMA BARANG],ATALI[[#This Row],[//]]-2))</f>
        <v>BINDER A5-TSUN-M473 ( UNIVRTY) JK-U</v>
      </c>
      <c r="V79" s="4" t="str">
        <f ca="1">LOWER(SUBSTITUTE(SUBSTITUTE(SUBSTITUTE(SUBSTITUTE(SUBSTITUTE(SUBSTITUTE(SUBSTITUTE(ATALI[[#This Row],[N.B.nota]]," ",""),"-",""),"(",""),")",""),".",""),",",""),"/",""))</f>
        <v>bindera5tsunm473univrtyjku</v>
      </c>
      <c r="W79" s="4" t="s">
        <v>137</v>
      </c>
      <c r="X79" s="4" t="str">
        <f ca="1">IF(ATALI[[#This Row],[N.B.nota]]="","",ADDRESS(ROW(ATALI[QB]),COLUMN(ATALI[QB]))&amp;":"&amp;ADDRESS(ROW(),COLUMN(ATALI[QB])))</f>
        <v>$D$3:$D$79</v>
      </c>
      <c r="Y79" s="22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NOTA]]="","",HYPERLINK("[NOTA_.xlsx]NOTA!e"&amp;INDEX([6]!PAJAK[//],MATCH(ATALI[[#This Row],[ID NOTA]],[6]!PAJAK[ID],0)),"&gt;") )</f>
        <v/>
      </c>
      <c r="D80" s="6" t="str">
        <f>IF(ATALI[[#This Row],[ID NOTA]]="","",INDEX(Table1[QB],MATCH(ATALI[[#This Row],[ID NOTA]],Table1[ID],0)))</f>
        <v/>
      </c>
      <c r="E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525</v>
      </c>
      <c r="F80" s="6"/>
      <c r="G80" s="3" t="str">
        <f>IF(ATALI[[#This Row],[ID NOTA]]="","",INDEX([6]!NOTA[TGL_H],MATCH(ATALI[[#This Row],[ID NOTA]],[6]!NOTA[ID],0)))</f>
        <v/>
      </c>
      <c r="H80" s="3" t="str">
        <f>IF(ATALI[[#This Row],[ID NOTA]]="","",INDEX([6]!NOTA[TGL.NOTA],MATCH(ATALI[[#This Row],[ID NOTA]],[6]!NOTA[ID],0)))</f>
        <v/>
      </c>
      <c r="I80" s="4" t="str">
        <f>IF(ATALI[[#This Row],[ID NOTA]]="","",INDEX([6]!NOTA[NO.NOTA],MATCH(ATALI[[#This Row],[ID NOTA]],[6]!NOTA[ID],0)))</f>
        <v/>
      </c>
      <c r="J80" s="4" t="s">
        <v>300</v>
      </c>
      <c r="K80" s="6">
        <f ca="1">IF(ATALI[[#This Row],[//]]="","",IF(INDEX([6]!NOTA[C],ATALI[[#This Row],[//]]-2)="","",INDEX([6]!NOTA[C],ATALI[[#This Row],[//]]-2)))</f>
        <v>1</v>
      </c>
      <c r="L80" s="6">
        <f ca="1">IF(ATALI[[#This Row],[//]]="","",INDEX([6]!NOTA[QTY],ATALI[[#This Row],[//]]-2))</f>
        <v>72</v>
      </c>
      <c r="M80" s="6" t="str">
        <f ca="1">IF(ATALI[[#This Row],[//]]="","",INDEX([6]!NOTA[STN],ATALI[[#This Row],[//]]-2))</f>
        <v>PCS</v>
      </c>
      <c r="N80" s="5">
        <f ca="1">IF(ATALI[[#This Row],[//]]="","",INDEX([6]!NOTA[HARGA SATUAN],ATALI[[#This Row],[//]]-2))</f>
        <v>15800</v>
      </c>
      <c r="O80" s="8">
        <f ca="1">IF(ATALI[[#This Row],[//]]="","",INDEX([6]!NOTA[DISC 1],ATALI[[#This Row],[//]]-2))</f>
        <v>0.125</v>
      </c>
      <c r="P80" s="8">
        <f ca="1">IF(ATALI[[#This Row],[//]]="","",INDEX([6]!NOTA[DISC 2],ATALI[[#This Row],[//]]-2))</f>
        <v>0.05</v>
      </c>
      <c r="Q80" s="5">
        <f ca="1">IF(ATALI[[#This Row],[//]]="","",INDEX([6]!NOTA[TOTAL],ATALI[[#This Row],[//]]-2))</f>
        <v>945630</v>
      </c>
      <c r="R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4" t="str">
        <f ca="1">IF(ATALI[[#This Row],[//]]="","",INDEX([6]!NOTA[NAMA BARANG],ATALI[[#This Row],[//]]-2))</f>
        <v>BINDER A5-TSED-M503 (EDUCATION) JK-U</v>
      </c>
      <c r="V80" s="4" t="str">
        <f ca="1">LOWER(SUBSTITUTE(SUBSTITUTE(SUBSTITUTE(SUBSTITUTE(SUBSTITUTE(SUBSTITUTE(SUBSTITUTE(ATALI[[#This Row],[N.B.nota]]," ",""),"-",""),"(",""),")",""),".",""),",",""),"/",""))</f>
        <v>bindera5tsedm503educationjku</v>
      </c>
      <c r="W80" s="4" t="s">
        <v>137</v>
      </c>
      <c r="X80" s="4" t="str">
        <f ca="1">IF(ATALI[[#This Row],[N.B.nota]]="","",ADDRESS(ROW(ATALI[QB]),COLUMN(ATALI[QB]))&amp;":"&amp;ADDRESS(ROW(),COLUMN(ATALI[QB])))</f>
        <v>$D$3:$D$80</v>
      </c>
      <c r="Y80" s="22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NOTA]]="","",HYPERLINK("[NOTA_.xlsx]NOTA!e"&amp;INDEX([6]!PAJAK[//],MATCH(ATALI[[#This Row],[ID NOTA]],[6]!PAJAK[ID],0)),"&gt;") )</f>
        <v/>
      </c>
      <c r="D81" s="6" t="str">
        <f>IF(ATALI[[#This Row],[ID NOTA]]="","",INDEX(Table1[QB],MATCH(ATALI[[#This Row],[ID NOTA]],Table1[ID],0)))</f>
        <v/>
      </c>
      <c r="E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526</v>
      </c>
      <c r="F81" s="6"/>
      <c r="G81" s="3" t="str">
        <f>IF(ATALI[[#This Row],[ID NOTA]]="","",INDEX([6]!NOTA[TGL_H],MATCH(ATALI[[#This Row],[ID NOTA]],[6]!NOTA[ID],0)))</f>
        <v/>
      </c>
      <c r="H81" s="3" t="str">
        <f>IF(ATALI[[#This Row],[ID NOTA]]="","",INDEX([6]!NOTA[TGL.NOTA],MATCH(ATALI[[#This Row],[ID NOTA]],[6]!NOTA[ID],0)))</f>
        <v/>
      </c>
      <c r="I81" s="4" t="str">
        <f>IF(ATALI[[#This Row],[ID NOTA]]="","",INDEX([6]!NOTA[NO.NOTA],MATCH(ATALI[[#This Row],[ID NOTA]],[6]!NOTA[ID],0)))</f>
        <v/>
      </c>
      <c r="J81" s="4" t="s">
        <v>301</v>
      </c>
      <c r="K81" s="6">
        <f ca="1">IF(ATALI[[#This Row],[//]]="","",IF(INDEX([6]!NOTA[C],ATALI[[#This Row],[//]]-2)="","",INDEX([6]!NOTA[C],ATALI[[#This Row],[//]]-2)))</f>
        <v>1</v>
      </c>
      <c r="L81" s="6">
        <f ca="1">IF(ATALI[[#This Row],[//]]="","",INDEX([6]!NOTA[QTY],ATALI[[#This Row],[//]]-2))</f>
        <v>72</v>
      </c>
      <c r="M81" s="6" t="str">
        <f ca="1">IF(ATALI[[#This Row],[//]]="","",INDEX([6]!NOTA[STN],ATALI[[#This Row],[//]]-2))</f>
        <v>PCS</v>
      </c>
      <c r="N81" s="5">
        <f ca="1">IF(ATALI[[#This Row],[//]]="","",INDEX([6]!NOTA[HARGA SATUAN],ATALI[[#This Row],[//]]-2))</f>
        <v>15800</v>
      </c>
      <c r="O81" s="8">
        <f ca="1">IF(ATALI[[#This Row],[//]]="","",INDEX([6]!NOTA[DISC 1],ATALI[[#This Row],[//]]-2))</f>
        <v>0.125</v>
      </c>
      <c r="P81" s="8">
        <f ca="1">IF(ATALI[[#This Row],[//]]="","",INDEX([6]!NOTA[DISC 2],ATALI[[#This Row],[//]]-2))</f>
        <v>0.05</v>
      </c>
      <c r="Q81" s="5">
        <f ca="1">IF(ATALI[[#This Row],[//]]="","",INDEX([6]!NOTA[TOTAL],ATALI[[#This Row],[//]]-2))</f>
        <v>945630</v>
      </c>
      <c r="R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4" t="str">
        <f ca="1">IF(ATALI[[#This Row],[//]]="","",INDEX([6]!NOTA[NAMA BARANG],ATALI[[#This Row],[//]]-2))</f>
        <v>BINDER A5-TSIM-M478 (IMAGINTN) JK-U</v>
      </c>
      <c r="V81" s="4" t="str">
        <f ca="1">LOWER(SUBSTITUTE(SUBSTITUTE(SUBSTITUTE(SUBSTITUTE(SUBSTITUTE(SUBSTITUTE(SUBSTITUTE(ATALI[[#This Row],[N.B.nota]]," ",""),"-",""),"(",""),")",""),".",""),",",""),"/",""))</f>
        <v>bindera5tsimm478imagintnjku</v>
      </c>
      <c r="W81" s="4" t="s">
        <v>137</v>
      </c>
      <c r="X81" s="4" t="str">
        <f ca="1">IF(ATALI[[#This Row],[N.B.nota]]="","",ADDRESS(ROW(ATALI[QB]),COLUMN(ATALI[QB]))&amp;":"&amp;ADDRESS(ROW(),COLUMN(ATALI[QB])))</f>
        <v>$D$3:$D$81</v>
      </c>
      <c r="Y81" s="22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6" t="str">
        <f>IF(ATALI[[#This Row],[N_ID]]="","",INDEX(Table1[ID],MATCH(ATALI[[#This Row],[N_ID]],Table1[N_ID],0)))</f>
        <v/>
      </c>
      <c r="C82" s="6" t="str">
        <f>IF(ATALI[[#This Row],[ID NOTA]]="","",HYPERLINK("[NOTA_.xlsx]NOTA!e"&amp;INDEX([6]!PAJAK[//],MATCH(ATALI[[#This Row],[ID NOTA]],[6]!PAJAK[ID],0)),"&gt;") )</f>
        <v/>
      </c>
      <c r="D82" s="6" t="str">
        <f>IF(ATALI[[#This Row],[ID NOTA]]="","",INDEX(Table1[QB],MATCH(ATALI[[#This Row],[ID NOTA]],Table1[ID],0)))</f>
        <v/>
      </c>
      <c r="E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527</v>
      </c>
      <c r="F82" s="6"/>
      <c r="G82" s="3" t="str">
        <f>IF(ATALI[[#This Row],[ID NOTA]]="","",INDEX([6]!NOTA[TGL_H],MATCH(ATALI[[#This Row],[ID NOTA]],[6]!NOTA[ID],0)))</f>
        <v/>
      </c>
      <c r="H82" s="3" t="str">
        <f>IF(ATALI[[#This Row],[ID NOTA]]="","",INDEX([6]!NOTA[TGL.NOTA],MATCH(ATALI[[#This Row],[ID NOTA]],[6]!NOTA[ID],0)))</f>
        <v/>
      </c>
      <c r="I82" s="4" t="str">
        <f>IF(ATALI[[#This Row],[ID NOTA]]="","",INDEX([6]!NOTA[NO.NOTA],MATCH(ATALI[[#This Row],[ID NOTA]],[6]!NOTA[ID],0)))</f>
        <v/>
      </c>
      <c r="J82" s="4" t="s">
        <v>302</v>
      </c>
      <c r="K82" s="6">
        <f ca="1">IF(ATALI[[#This Row],[//]]="","",IF(INDEX([6]!NOTA[C],ATALI[[#This Row],[//]]-2)="","",INDEX([6]!NOTA[C],ATALI[[#This Row],[//]]-2)))</f>
        <v>1</v>
      </c>
      <c r="L82" s="6">
        <f ca="1">IF(ATALI[[#This Row],[//]]="","",INDEX([6]!NOTA[QTY],ATALI[[#This Row],[//]]-2))</f>
        <v>72</v>
      </c>
      <c r="M82" s="6" t="str">
        <f ca="1">IF(ATALI[[#This Row],[//]]="","",INDEX([6]!NOTA[STN],ATALI[[#This Row],[//]]-2))</f>
        <v>PCS</v>
      </c>
      <c r="N82" s="5">
        <f ca="1">IF(ATALI[[#This Row],[//]]="","",INDEX([6]!NOTA[HARGA SATUAN],ATALI[[#This Row],[//]]-2))</f>
        <v>15800</v>
      </c>
      <c r="O82" s="8">
        <f ca="1">IF(ATALI[[#This Row],[//]]="","",INDEX([6]!NOTA[DISC 1],ATALI[[#This Row],[//]]-2))</f>
        <v>0.125</v>
      </c>
      <c r="P82" s="8">
        <f ca="1">IF(ATALI[[#This Row],[//]]="","",INDEX([6]!NOTA[DISC 2],ATALI[[#This Row],[//]]-2))</f>
        <v>0.05</v>
      </c>
      <c r="Q82" s="5">
        <f ca="1">IF(ATALI[[#This Row],[//]]="","",INDEX([6]!NOTA[TOTAL],ATALI[[#This Row],[//]]-2))</f>
        <v>945630</v>
      </c>
      <c r="R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2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4" t="str">
        <f ca="1">IF(ATALI[[#This Row],[//]]="","",INDEX([6]!NOTA[NAMA BARANG],ATALI[[#This Row],[//]]-2))</f>
        <v>BINDER A5-TSIM-M416 (IMAGE) JK-U</v>
      </c>
      <c r="V82" s="4" t="str">
        <f ca="1">LOWER(SUBSTITUTE(SUBSTITUTE(SUBSTITUTE(SUBSTITUTE(SUBSTITUTE(SUBSTITUTE(SUBSTITUTE(ATALI[[#This Row],[N.B.nota]]," ",""),"-",""),"(",""),")",""),".",""),",",""),"/",""))</f>
        <v>bindera5tsimm416imagejku</v>
      </c>
      <c r="W82" s="4" t="s">
        <v>137</v>
      </c>
      <c r="X82" s="4" t="str">
        <f ca="1">IF(ATALI[[#This Row],[N.B.nota]]="","",ADDRESS(ROW(ATALI[QB]),COLUMN(ATALI[QB]))&amp;":"&amp;ADDRESS(ROW(),COLUMN(ATALI[QB])))</f>
        <v>$D$3:$D$82</v>
      </c>
      <c r="Y82" s="22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NOTA]]="","",HYPERLINK("[NOTA_.xlsx]NOTA!e"&amp;INDEX([6]!PAJAK[//],MATCH(ATALI[[#This Row],[ID NOTA]],[6]!PAJAK[ID],0)),"&gt;") )</f>
        <v/>
      </c>
      <c r="D83" s="6" t="str">
        <f>IF(ATALI[[#This Row],[ID NOTA]]="","",INDEX(Table1[QB],MATCH(ATALI[[#This Row],[ID NOTA]],Table1[ID],0)))</f>
        <v/>
      </c>
      <c r="E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528</v>
      </c>
      <c r="F83" s="6"/>
      <c r="G83" s="3" t="str">
        <f>IF(ATALI[[#This Row],[ID NOTA]]="","",INDEX([6]!NOTA[TGL_H],MATCH(ATALI[[#This Row],[ID NOTA]],[6]!NOTA[ID],0)))</f>
        <v/>
      </c>
      <c r="H83" s="3" t="str">
        <f>IF(ATALI[[#This Row],[ID NOTA]]="","",INDEX([6]!NOTA[TGL.NOTA],MATCH(ATALI[[#This Row],[ID NOTA]],[6]!NOTA[ID],0)))</f>
        <v/>
      </c>
      <c r="I83" s="4" t="str">
        <f>IF(ATALI[[#This Row],[ID NOTA]]="","",INDEX([6]!NOTA[NO.NOTA],MATCH(ATALI[[#This Row],[ID NOTA]],[6]!NOTA[ID],0)))</f>
        <v/>
      </c>
      <c r="J83" s="4" t="s">
        <v>303</v>
      </c>
      <c r="K83" s="6">
        <f ca="1">IF(ATALI[[#This Row],[//]]="","",IF(INDEX([6]!NOTA[C],ATALI[[#This Row],[//]]-2)="","",INDEX([6]!NOTA[C],ATALI[[#This Row],[//]]-2)))</f>
        <v>1</v>
      </c>
      <c r="L83" s="6">
        <f ca="1">IF(ATALI[[#This Row],[//]]="","",INDEX([6]!NOTA[QTY],ATALI[[#This Row],[//]]-2))</f>
        <v>72</v>
      </c>
      <c r="M83" s="6" t="str">
        <f ca="1">IF(ATALI[[#This Row],[//]]="","",INDEX([6]!NOTA[STN],ATALI[[#This Row],[//]]-2))</f>
        <v>PCS</v>
      </c>
      <c r="N83" s="5">
        <f ca="1">IF(ATALI[[#This Row],[//]]="","",INDEX([6]!NOTA[HARGA SATUAN],ATALI[[#This Row],[//]]-2))</f>
        <v>15800</v>
      </c>
      <c r="O83" s="8">
        <f ca="1">IF(ATALI[[#This Row],[//]]="","",INDEX([6]!NOTA[DISC 1],ATALI[[#This Row],[//]]-2))</f>
        <v>0.125</v>
      </c>
      <c r="P83" s="8">
        <f ca="1">IF(ATALI[[#This Row],[//]]="","",INDEX([6]!NOTA[DISC 2],ATALI[[#This Row],[//]]-2))</f>
        <v>0.05</v>
      </c>
      <c r="Q83" s="5">
        <f ca="1">IF(ATALI[[#This Row],[//]]="","",INDEX([6]!NOTA[TOTAL],ATALI[[#This Row],[//]]-2))</f>
        <v>945630</v>
      </c>
      <c r="R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3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4" t="str">
        <f ca="1">IF(ATALI[[#This Row],[//]]="","",INDEX([6]!NOTA[NAMA BARANG],ATALI[[#This Row],[//]]-2))</f>
        <v>BINDER A5-TSCS-M432 (CLASSIC) JK-U</v>
      </c>
      <c r="V83" s="4" t="str">
        <f ca="1">LOWER(SUBSTITUTE(SUBSTITUTE(SUBSTITUTE(SUBSTITUTE(SUBSTITUTE(SUBSTITUTE(SUBSTITUTE(ATALI[[#This Row],[N.B.nota]]," ",""),"-",""),"(",""),")",""),".",""),",",""),"/",""))</f>
        <v>bindera5tscsm432classicjku</v>
      </c>
      <c r="W83" s="4" t="s">
        <v>137</v>
      </c>
      <c r="X83" s="4" t="str">
        <f ca="1">IF(ATALI[[#This Row],[N.B.nota]]="","",ADDRESS(ROW(ATALI[QB]),COLUMN(ATALI[QB]))&amp;":"&amp;ADDRESS(ROW(),COLUMN(ATALI[QB])))</f>
        <v>$D$3:$D$83</v>
      </c>
      <c r="Y83" s="22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NOTA]]="","",HYPERLINK("[NOTA_.xlsx]NOTA!e"&amp;INDEX([6]!PAJAK[//],MATCH(ATALI[[#This Row],[ID NOTA]],[6]!PAJAK[ID],0)),"&gt;") )</f>
        <v/>
      </c>
      <c r="D84" s="6" t="str">
        <f>IF(ATALI[[#This Row],[ID NOTA]]="","",INDEX(Table1[QB],MATCH(ATALI[[#This Row],[ID NOTA]],Table1[ID],0)))</f>
        <v/>
      </c>
      <c r="E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529</v>
      </c>
      <c r="F84" s="6"/>
      <c r="G84" s="3" t="str">
        <f>IF(ATALI[[#This Row],[ID NOTA]]="","",INDEX([6]!NOTA[TGL_H],MATCH(ATALI[[#This Row],[ID NOTA]],[6]!NOTA[ID],0)))</f>
        <v/>
      </c>
      <c r="H84" s="3" t="str">
        <f>IF(ATALI[[#This Row],[ID NOTA]]="","",INDEX([6]!NOTA[TGL.NOTA],MATCH(ATALI[[#This Row],[ID NOTA]],[6]!NOTA[ID],0)))</f>
        <v/>
      </c>
      <c r="I84" s="4" t="str">
        <f>IF(ATALI[[#This Row],[ID NOTA]]="","",INDEX([6]!NOTA[NO.NOTA],MATCH(ATALI[[#This Row],[ID NOTA]],[6]!NOTA[ID],0)))</f>
        <v/>
      </c>
      <c r="J84" s="4" t="s">
        <v>289</v>
      </c>
      <c r="K84" s="6">
        <f ca="1">IF(ATALI[[#This Row],[//]]="","",IF(INDEX([6]!NOTA[C],ATALI[[#This Row],[//]]-2)="","",INDEX([6]!NOTA[C],ATALI[[#This Row],[//]]-2)))</f>
        <v>1</v>
      </c>
      <c r="L84" s="6">
        <f ca="1">IF(ATALI[[#This Row],[//]]="","",INDEX([6]!NOTA[QTY],ATALI[[#This Row],[//]]-2))</f>
        <v>72</v>
      </c>
      <c r="M84" s="6" t="str">
        <f ca="1">IF(ATALI[[#This Row],[//]]="","",INDEX([6]!NOTA[STN],ATALI[[#This Row],[//]]-2))</f>
        <v>PCS</v>
      </c>
      <c r="N84" s="5">
        <f ca="1">IF(ATALI[[#This Row],[//]]="","",INDEX([6]!NOTA[HARGA SATUAN],ATALI[[#This Row],[//]]-2))</f>
        <v>15800</v>
      </c>
      <c r="O84" s="8">
        <f ca="1">IF(ATALI[[#This Row],[//]]="","",INDEX([6]!NOTA[DISC 1],ATALI[[#This Row],[//]]-2))</f>
        <v>0.125</v>
      </c>
      <c r="P84" s="8">
        <f ca="1">IF(ATALI[[#This Row],[//]]="","",INDEX([6]!NOTA[DISC 2],ATALI[[#This Row],[//]]-2))</f>
        <v>0.05</v>
      </c>
      <c r="Q84" s="5">
        <f ca="1">IF(ATALI[[#This Row],[//]]="","",INDEX([6]!NOTA[TOTAL],ATALI[[#This Row],[//]]-2))</f>
        <v>945630</v>
      </c>
      <c r="R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4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4" t="str">
        <f ca="1">IF(ATALI[[#This Row],[//]]="","",INDEX([6]!NOTA[NAMA BARANG],ATALI[[#This Row],[//]]-2))</f>
        <v>BINDER A5-TSFC-M480 (FACULTY) JK-U</v>
      </c>
      <c r="V84" s="4" t="str">
        <f ca="1">LOWER(SUBSTITUTE(SUBSTITUTE(SUBSTITUTE(SUBSTITUTE(SUBSTITUTE(SUBSTITUTE(SUBSTITUTE(ATALI[[#This Row],[N.B.nota]]," ",""),"-",""),"(",""),")",""),".",""),",",""),"/",""))</f>
        <v>bindera5tsfcm480facultyjku</v>
      </c>
      <c r="W84" s="4" t="s">
        <v>137</v>
      </c>
      <c r="X84" s="4" t="str">
        <f ca="1">IF(ATALI[[#This Row],[N.B.nota]]="","",ADDRESS(ROW(ATALI[QB]),COLUMN(ATALI[QB]))&amp;":"&amp;ADDRESS(ROW(),COLUMN(ATALI[QB])))</f>
        <v>$D$3:$D$84</v>
      </c>
      <c r="Y84" s="22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NOTA]]="","",HYPERLINK("[NOTA_.xlsx]NOTA!e"&amp;INDEX([6]!PAJAK[//],MATCH(ATALI[[#This Row],[ID NOTA]],[6]!PAJAK[ID],0)),"&gt;") )</f>
        <v/>
      </c>
      <c r="D85" s="6" t="str">
        <f>IF(ATALI[[#This Row],[ID NOTA]]="","",INDEX(Table1[QB],MATCH(ATALI[[#This Row],[ID NOTA]],Table1[ID],0)))</f>
        <v/>
      </c>
      <c r="E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530</v>
      </c>
      <c r="F85" s="6"/>
      <c r="G85" s="3" t="str">
        <f>IF(ATALI[[#This Row],[ID NOTA]]="","",INDEX([6]!NOTA[TGL_H],MATCH(ATALI[[#This Row],[ID NOTA]],[6]!NOTA[ID],0)))</f>
        <v/>
      </c>
      <c r="H85" s="3" t="str">
        <f>IF(ATALI[[#This Row],[ID NOTA]]="","",INDEX([6]!NOTA[TGL.NOTA],MATCH(ATALI[[#This Row],[ID NOTA]],[6]!NOTA[ID],0)))</f>
        <v/>
      </c>
      <c r="I85" s="4" t="str">
        <f>IF(ATALI[[#This Row],[ID NOTA]]="","",INDEX([6]!NOTA[NO.NOTA],MATCH(ATALI[[#This Row],[ID NOTA]],[6]!NOTA[ID],0)))</f>
        <v/>
      </c>
      <c r="J85" s="4" t="e">
        <v>#N/A</v>
      </c>
      <c r="K85" s="6">
        <f ca="1">IF(ATALI[[#This Row],[//]]="","",IF(INDEX([6]!NOTA[C],ATALI[[#This Row],[//]]-2)="","",INDEX([6]!NOTA[C],ATALI[[#This Row],[//]]-2)))</f>
        <v>1</v>
      </c>
      <c r="L85" s="6">
        <f ca="1">IF(ATALI[[#This Row],[//]]="","",INDEX([6]!NOTA[QTY],ATALI[[#This Row],[//]]-2))</f>
        <v>72</v>
      </c>
      <c r="M85" s="6" t="str">
        <f ca="1">IF(ATALI[[#This Row],[//]]="","",INDEX([6]!NOTA[STN],ATALI[[#This Row],[//]]-2))</f>
        <v>PCS</v>
      </c>
      <c r="N85" s="5">
        <f ca="1">IF(ATALI[[#This Row],[//]]="","",INDEX([6]!NOTA[HARGA SATUAN],ATALI[[#This Row],[//]]-2))</f>
        <v>15800</v>
      </c>
      <c r="O85" s="8">
        <f ca="1">IF(ATALI[[#This Row],[//]]="","",INDEX([6]!NOTA[DISC 1],ATALI[[#This Row],[//]]-2))</f>
        <v>0.125</v>
      </c>
      <c r="P85" s="8">
        <f ca="1">IF(ATALI[[#This Row],[//]]="","",INDEX([6]!NOTA[DISC 2],ATALI[[#This Row],[//]]-2))</f>
        <v>0.05</v>
      </c>
      <c r="Q85" s="5">
        <f ca="1">IF(ATALI[[#This Row],[//]]="","",INDEX([6]!NOTA[TOTAL],ATALI[[#This Row],[//]]-2))</f>
        <v>945630</v>
      </c>
      <c r="R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5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4" t="str">
        <f ca="1">IF(ATALI[[#This Row],[//]]="","",INDEX([6]!NOTA[NAMA BARANG],ATALI[[#This Row],[//]]-2))</f>
        <v>BINDER A5-TSFS-514 (FRIENDSHIP) JK-U</v>
      </c>
      <c r="V85" s="4" t="str">
        <f ca="1">LOWER(SUBSTITUTE(SUBSTITUTE(SUBSTITUTE(SUBSTITUTE(SUBSTITUTE(SUBSTITUTE(SUBSTITUTE(ATALI[[#This Row],[N.B.nota]]," ",""),"-",""),"(",""),")",""),".",""),",",""),"/",""))</f>
        <v>bindera5tsfs514friendshipjku</v>
      </c>
      <c r="W85" s="4" t="e">
        <v>#N/A</v>
      </c>
      <c r="X85" s="4" t="str">
        <f ca="1">IF(ATALI[[#This Row],[N.B.nota]]="","",ADDRESS(ROW(ATALI[QB]),COLUMN(ATALI[QB]))&amp;":"&amp;ADDRESS(ROW(),COLUMN(ATALI[QB])))</f>
        <v>$D$3:$D$85</v>
      </c>
      <c r="Y85" s="22" t="e">
        <f ca="1">IF(ATALI[[#This Row],[//]]="","",HYPERLINK("[../DB.xlsx]DB!e"&amp;MATCH(ATALI[[#This Row],[concat]],[4]!db[NB NOTA_C],0)+1,"&gt;"))</f>
        <v>#N/A</v>
      </c>
    </row>
    <row r="86" spans="1:25" x14ac:dyDescent="0.25">
      <c r="A86" s="4"/>
      <c r="B86" s="6" t="str">
        <f>IF(ATALI[[#This Row],[N_ID]]="","",INDEX(Table1[ID],MATCH(ATALI[[#This Row],[N_ID]],Table1[N_ID],0)))</f>
        <v/>
      </c>
      <c r="C86" s="6" t="str">
        <f>IF(ATALI[[#This Row],[ID NOTA]]="","",HYPERLINK("[NOTA_.xlsx]NOTA!e"&amp;INDEX([6]!PAJAK[//],MATCH(ATALI[[#This Row],[ID NOTA]],[6]!PAJAK[ID],0)),"&gt;") )</f>
        <v/>
      </c>
      <c r="D86" s="6" t="str">
        <f>IF(ATALI[[#This Row],[ID NOTA]]="","",INDEX(Table1[QB],MATCH(ATALI[[#This Row],[ID NOTA]],Table1[ID],0)))</f>
        <v/>
      </c>
      <c r="E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531</v>
      </c>
      <c r="F86" s="6"/>
      <c r="G86" s="3" t="str">
        <f>IF(ATALI[[#This Row],[ID NOTA]]="","",INDEX([6]!NOTA[TGL_H],MATCH(ATALI[[#This Row],[ID NOTA]],[6]!NOTA[ID],0)))</f>
        <v/>
      </c>
      <c r="H86" s="3" t="str">
        <f>IF(ATALI[[#This Row],[ID NOTA]]="","",INDEX([6]!NOTA[TGL.NOTA],MATCH(ATALI[[#This Row],[ID NOTA]],[6]!NOTA[ID],0)))</f>
        <v/>
      </c>
      <c r="I86" s="4" t="str">
        <f>IF(ATALI[[#This Row],[ID NOTA]]="","",INDEX([6]!NOTA[NO.NOTA],MATCH(ATALI[[#This Row],[ID NOTA]],[6]!NOTA[ID],0)))</f>
        <v/>
      </c>
      <c r="J86" s="4" t="s">
        <v>292</v>
      </c>
      <c r="K86" s="6">
        <f ca="1">IF(ATALI[[#This Row],[//]]="","",IF(INDEX([6]!NOTA[C],ATALI[[#This Row],[//]]-2)="","",INDEX([6]!NOTA[C],ATALI[[#This Row],[//]]-2)))</f>
        <v>1</v>
      </c>
      <c r="L86" s="6">
        <f ca="1">IF(ATALI[[#This Row],[//]]="","",INDEX([6]!NOTA[QTY],ATALI[[#This Row],[//]]-2))</f>
        <v>72</v>
      </c>
      <c r="M86" s="6" t="str">
        <f ca="1">IF(ATALI[[#This Row],[//]]="","",INDEX([6]!NOTA[STN],ATALI[[#This Row],[//]]-2))</f>
        <v>PCS</v>
      </c>
      <c r="N86" s="5">
        <f ca="1">IF(ATALI[[#This Row],[//]]="","",INDEX([6]!NOTA[HARGA SATUAN],ATALI[[#This Row],[//]]-2))</f>
        <v>15800</v>
      </c>
      <c r="O86" s="8">
        <f ca="1">IF(ATALI[[#This Row],[//]]="","",INDEX([6]!NOTA[DISC 1],ATALI[[#This Row],[//]]-2))</f>
        <v>0.125</v>
      </c>
      <c r="P86" s="8">
        <f ca="1">IF(ATALI[[#This Row],[//]]="","",INDEX([6]!NOTA[DISC 2],ATALI[[#This Row],[//]]-2))</f>
        <v>0.05</v>
      </c>
      <c r="Q86" s="5">
        <f ca="1">IF(ATALI[[#This Row],[//]]="","",INDEX([6]!NOTA[TOTAL],ATALI[[#This Row],[//]]-2))</f>
        <v>945630</v>
      </c>
      <c r="R8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6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4" t="str">
        <f ca="1">IF(ATALI[[#This Row],[//]]="","",INDEX([6]!NOTA[NAMA BARANG],ATALI[[#This Row],[//]]-2))</f>
        <v>BINDER A5-TSTP-513 (TEMPORARY) JK-U</v>
      </c>
      <c r="V86" s="4" t="str">
        <f ca="1">LOWER(SUBSTITUTE(SUBSTITUTE(SUBSTITUTE(SUBSTITUTE(SUBSTITUTE(SUBSTITUTE(SUBSTITUTE(ATALI[[#This Row],[N.B.nota]]," ",""),"-",""),"(",""),")",""),".",""),",",""),"/",""))</f>
        <v>bindera5tstp513temporaryjku</v>
      </c>
      <c r="W86" s="4" t="s">
        <v>137</v>
      </c>
      <c r="X86" s="4" t="str">
        <f ca="1">IF(ATALI[[#This Row],[N.B.nota]]="","",ADDRESS(ROW(ATALI[QB]),COLUMN(ATALI[QB]))&amp;":"&amp;ADDRESS(ROW(),COLUMN(ATALI[QB])))</f>
        <v>$D$3:$D$86</v>
      </c>
      <c r="Y86" s="22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4"/>
      <c r="B87" s="6" t="str">
        <f>IF(ATALI[[#This Row],[N_ID]]="","",INDEX(Table1[ID],MATCH(ATALI[[#This Row],[N_ID]],Table1[N_ID],0)))</f>
        <v/>
      </c>
      <c r="C87" s="6" t="str">
        <f>IF(ATALI[[#This Row],[ID NOTA]]="","",HYPERLINK("[NOTA_.xlsx]NOTA!e"&amp;INDEX([6]!PAJAK[//],MATCH(ATALI[[#This Row],[ID NOTA]],[6]!PAJAK[ID],0)),"&gt;") )</f>
        <v/>
      </c>
      <c r="D87" s="6" t="str">
        <f>IF(ATALI[[#This Row],[ID NOTA]]="","",INDEX(Table1[QB],MATCH(ATALI[[#This Row],[ID NOTA]],Table1[ID],0)))</f>
        <v/>
      </c>
      <c r="E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532</v>
      </c>
      <c r="F87" s="6"/>
      <c r="G87" s="3" t="str">
        <f>IF(ATALI[[#This Row],[ID NOTA]]="","",INDEX([6]!NOTA[TGL_H],MATCH(ATALI[[#This Row],[ID NOTA]],[6]!NOTA[ID],0)))</f>
        <v/>
      </c>
      <c r="H87" s="3" t="str">
        <f>IF(ATALI[[#This Row],[ID NOTA]]="","",INDEX([6]!NOTA[TGL.NOTA],MATCH(ATALI[[#This Row],[ID NOTA]],[6]!NOTA[ID],0)))</f>
        <v/>
      </c>
      <c r="I87" s="4" t="str">
        <f>IF(ATALI[[#This Row],[ID NOTA]]="","",INDEX([6]!NOTA[NO.NOTA],MATCH(ATALI[[#This Row],[ID NOTA]],[6]!NOTA[ID],0)))</f>
        <v/>
      </c>
      <c r="J87" s="4" t="s">
        <v>304</v>
      </c>
      <c r="K87" s="6">
        <f ca="1">IF(ATALI[[#This Row],[//]]="","",IF(INDEX([6]!NOTA[C],ATALI[[#This Row],[//]]-2)="","",INDEX([6]!NOTA[C],ATALI[[#This Row],[//]]-2)))</f>
        <v>1</v>
      </c>
      <c r="L87" s="6">
        <f ca="1">IF(ATALI[[#This Row],[//]]="","",INDEX([6]!NOTA[QTY],ATALI[[#This Row],[//]]-2))</f>
        <v>72</v>
      </c>
      <c r="M87" s="6" t="str">
        <f ca="1">IF(ATALI[[#This Row],[//]]="","",INDEX([6]!NOTA[STN],ATALI[[#This Row],[//]]-2))</f>
        <v>PCS</v>
      </c>
      <c r="N87" s="5">
        <f ca="1">IF(ATALI[[#This Row],[//]]="","",INDEX([6]!NOTA[HARGA SATUAN],ATALI[[#This Row],[//]]-2))</f>
        <v>15800</v>
      </c>
      <c r="O87" s="8">
        <f ca="1">IF(ATALI[[#This Row],[//]]="","",INDEX([6]!NOTA[DISC 1],ATALI[[#This Row],[//]]-2))</f>
        <v>0.125</v>
      </c>
      <c r="P87" s="8">
        <f ca="1">IF(ATALI[[#This Row],[//]]="","",INDEX([6]!NOTA[DISC 2],ATALI[[#This Row],[//]]-2))</f>
        <v>0.05</v>
      </c>
      <c r="Q87" s="5">
        <f ca="1">IF(ATALI[[#This Row],[//]]="","",INDEX([6]!NOTA[TOTAL],ATALI[[#This Row],[//]]-2))</f>
        <v>945630</v>
      </c>
      <c r="R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7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4" t="str">
        <f ca="1">IF(ATALI[[#This Row],[//]]="","",INDEX([6]!NOTA[NAMA BARANG],ATALI[[#This Row],[//]]-2))</f>
        <v>BINDER A5-TSCL-M474 (COLLEGE) JK-U</v>
      </c>
      <c r="V87" s="4" t="str">
        <f ca="1">LOWER(SUBSTITUTE(SUBSTITUTE(SUBSTITUTE(SUBSTITUTE(SUBSTITUTE(SUBSTITUTE(SUBSTITUTE(ATALI[[#This Row],[N.B.nota]]," ",""),"-",""),"(",""),")",""),".",""),",",""),"/",""))</f>
        <v>bindera5tsclm474collegejku</v>
      </c>
      <c r="W87" s="4" t="s">
        <v>137</v>
      </c>
      <c r="X87" s="4" t="str">
        <f ca="1">IF(ATALI[[#This Row],[N.B.nota]]="","",ADDRESS(ROW(ATALI[QB]),COLUMN(ATALI[QB]))&amp;":"&amp;ADDRESS(ROW(),COLUMN(ATALI[QB])))</f>
        <v>$D$3:$D$87</v>
      </c>
      <c r="Y87" s="22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6" t="str">
        <f>IF(ATALI[[#This Row],[N_ID]]="","",INDEX(Table1[ID],MATCH(ATALI[[#This Row],[N_ID]],Table1[N_ID],0)))</f>
        <v/>
      </c>
      <c r="C88" s="6" t="str">
        <f>IF(ATALI[[#This Row],[ID NOTA]]="","",HYPERLINK("[NOTA_.xlsx]NOTA!e"&amp;INDEX([6]!PAJAK[//],MATCH(ATALI[[#This Row],[ID NOTA]],[6]!PAJAK[ID],0)),"&gt;") )</f>
        <v/>
      </c>
      <c r="D88" s="6" t="str">
        <f>IF(ATALI[[#This Row],[ID NOTA]]="","",INDEX(Table1[QB],MATCH(ATALI[[#This Row],[ID NOTA]],Table1[ID],0)))</f>
        <v/>
      </c>
      <c r="E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533</v>
      </c>
      <c r="F88" s="6"/>
      <c r="G88" s="3" t="str">
        <f>IF(ATALI[[#This Row],[ID NOTA]]="","",INDEX([6]!NOTA[TGL_H],MATCH(ATALI[[#This Row],[ID NOTA]],[6]!NOTA[ID],0)))</f>
        <v/>
      </c>
      <c r="H88" s="3" t="str">
        <f>IF(ATALI[[#This Row],[ID NOTA]]="","",INDEX([6]!NOTA[TGL.NOTA],MATCH(ATALI[[#This Row],[ID NOTA]],[6]!NOTA[ID],0)))</f>
        <v/>
      </c>
      <c r="I88" s="4" t="str">
        <f>IF(ATALI[[#This Row],[ID NOTA]]="","",INDEX([6]!NOTA[NO.NOTA],MATCH(ATALI[[#This Row],[ID NOTA]],[6]!NOTA[ID],0)))</f>
        <v/>
      </c>
      <c r="J88" s="4" t="s">
        <v>305</v>
      </c>
      <c r="K88" s="6">
        <f ca="1">IF(ATALI[[#This Row],[//]]="","",IF(INDEX([6]!NOTA[C],ATALI[[#This Row],[//]]-2)="","",INDEX([6]!NOTA[C],ATALI[[#This Row],[//]]-2)))</f>
        <v>1</v>
      </c>
      <c r="L88" s="6">
        <f ca="1">IF(ATALI[[#This Row],[//]]="","",INDEX([6]!NOTA[QTY],ATALI[[#This Row],[//]]-2))</f>
        <v>72</v>
      </c>
      <c r="M88" s="6" t="str">
        <f ca="1">IF(ATALI[[#This Row],[//]]="","",INDEX([6]!NOTA[STN],ATALI[[#This Row],[//]]-2))</f>
        <v>PCS</v>
      </c>
      <c r="N88" s="5">
        <f ca="1">IF(ATALI[[#This Row],[//]]="","",INDEX([6]!NOTA[HARGA SATUAN],ATALI[[#This Row],[//]]-2))</f>
        <v>15800</v>
      </c>
      <c r="O88" s="8">
        <f ca="1">IF(ATALI[[#This Row],[//]]="","",INDEX([6]!NOTA[DISC 1],ATALI[[#This Row],[//]]-2))</f>
        <v>0.125</v>
      </c>
      <c r="P88" s="8">
        <f ca="1">IF(ATALI[[#This Row],[//]]="","",INDEX([6]!NOTA[DISC 2],ATALI[[#This Row],[//]]-2))</f>
        <v>0.05</v>
      </c>
      <c r="Q88" s="5">
        <f ca="1">IF(ATALI[[#This Row],[//]]="","",INDEX([6]!NOTA[TOTAL],ATALI[[#This Row],[//]]-2))</f>
        <v>945630</v>
      </c>
      <c r="R8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8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9456300</v>
      </c>
      <c r="T88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4" t="str">
        <f ca="1">IF(ATALI[[#This Row],[//]]="","",INDEX([6]!NOTA[NAMA BARANG],ATALI[[#This Row],[//]]-2))</f>
        <v>BINDER A5-TSBS-M376 (BASIC) JK-U</v>
      </c>
      <c r="V88" s="4" t="str">
        <f ca="1">LOWER(SUBSTITUTE(SUBSTITUTE(SUBSTITUTE(SUBSTITUTE(SUBSTITUTE(SUBSTITUTE(SUBSTITUTE(ATALI[[#This Row],[N.B.nota]]," ",""),"-",""),"(",""),")",""),".",""),",",""),"/",""))</f>
        <v>bindera5tsbsm376basicjku</v>
      </c>
      <c r="W88" s="4" t="s">
        <v>137</v>
      </c>
      <c r="X88" s="4" t="str">
        <f ca="1">IF(ATALI[[#This Row],[N.B.nota]]="","",ADDRESS(ROW(ATALI[QB]),COLUMN(ATALI[QB]))&amp;":"&amp;ADDRESS(ROW(),COLUMN(ATALI[QB])))</f>
        <v>$D$3:$D$88</v>
      </c>
      <c r="Y88" s="22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6" t="str">
        <f>IF(ATALI[[#This Row],[N_ID]]="","",INDEX(Table1[ID],MATCH(ATALI[[#This Row],[N_ID]],Table1[N_ID],0)))</f>
        <v/>
      </c>
      <c r="C89" s="6" t="str">
        <f>IF(ATALI[[#This Row],[ID NOTA]]="","",HYPERLINK("[NOTA_.xlsx]NOTA!e"&amp;INDEX([6]!PAJAK[//],MATCH(ATALI[[#This Row],[ID NOTA]],[6]!PAJAK[ID],0)),"&gt;") )</f>
        <v/>
      </c>
      <c r="D89" s="6" t="str">
        <f>IF(ATALI[[#This Row],[ID NOTA]]="","",INDEX(Table1[QB],MATCH(ATALI[[#This Row],[ID NOTA]],Table1[ID],0)))</f>
        <v/>
      </c>
      <c r="E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9" s="6"/>
      <c r="G89" s="3" t="str">
        <f>IF(ATALI[[#This Row],[ID NOTA]]="","",INDEX([6]!NOTA[TGL_H],MATCH(ATALI[[#This Row],[ID NOTA]],[6]!NOTA[ID],0)))</f>
        <v/>
      </c>
      <c r="H89" s="3" t="str">
        <f>IF(ATALI[[#This Row],[ID NOTA]]="","",INDEX([6]!NOTA[TGL.NOTA],MATCH(ATALI[[#This Row],[ID NOTA]],[6]!NOTA[ID],0)))</f>
        <v/>
      </c>
      <c r="I89" s="4" t="str">
        <f>IF(ATALI[[#This Row],[ID NOTA]]="","",INDEX([6]!NOTA[NO.NOTA],MATCH(ATALI[[#This Row],[ID NOTA]],[6]!NOTA[ID],0)))</f>
        <v/>
      </c>
      <c r="J89" s="4" t="s">
        <v>136</v>
      </c>
      <c r="K89" s="6" t="str">
        <f ca="1">IF(ATALI[[#This Row],[//]]="","",IF(INDEX([6]!NOTA[C],ATALI[[#This Row],[//]]-2)="","",INDEX([6]!NOTA[C],ATALI[[#This Row],[//]]-2)))</f>
        <v/>
      </c>
      <c r="L89" s="6" t="str">
        <f ca="1">IF(ATALI[[#This Row],[//]]="","",INDEX([6]!NOTA[QTY],ATALI[[#This Row],[//]]-2))</f>
        <v/>
      </c>
      <c r="M89" s="6" t="str">
        <f ca="1">IF(ATALI[[#This Row],[//]]="","",INDEX([6]!NOTA[STN],ATALI[[#This Row],[//]]-2))</f>
        <v/>
      </c>
      <c r="N89" s="5" t="str">
        <f ca="1">IF(ATALI[[#This Row],[//]]="","",INDEX([6]!NOTA[HARGA SATUAN],ATALI[[#This Row],[//]]-2))</f>
        <v/>
      </c>
      <c r="O89" s="8" t="str">
        <f ca="1">IF(ATALI[[#This Row],[//]]="","",INDEX([6]!NOTA[DISC 1],ATALI[[#This Row],[//]]-2))</f>
        <v/>
      </c>
      <c r="P89" s="8" t="str">
        <f ca="1">IF(ATALI[[#This Row],[//]]="","",INDEX([6]!NOTA[DISC 2],ATALI[[#This Row],[//]]-2))</f>
        <v/>
      </c>
      <c r="Q89" s="5" t="str">
        <f ca="1">IF(ATALI[[#This Row],[//]]="","",INDEX([6]!NOTA[TOTAL],ATALI[[#This Row],[//]]-2))</f>
        <v/>
      </c>
      <c r="R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4" t="str">
        <f ca="1">IF(ATALI[[#This Row],[//]]="","",INDEX([6]!NOTA[NAMA BARANG],ATALI[[#This Row],[//]]-2))</f>
        <v/>
      </c>
      <c r="V89" s="4" t="str">
        <f ca="1">LOWER(SUBSTITUTE(SUBSTITUTE(SUBSTITUTE(SUBSTITUTE(SUBSTITUTE(SUBSTITUTE(SUBSTITUTE(ATALI[[#This Row],[N.B.nota]]," ",""),"-",""),"(",""),")",""),".",""),",",""),"/",""))</f>
        <v/>
      </c>
      <c r="W89" s="4" t="s">
        <v>136</v>
      </c>
      <c r="X89" s="4" t="str">
        <f ca="1">IF(ATALI[[#This Row],[N.B.nota]]="","",ADDRESS(ROW(ATALI[QB]),COLUMN(ATALI[QB]))&amp;":"&amp;ADDRESS(ROW(),COLUMN(ATALI[QB])))</f>
        <v/>
      </c>
      <c r="Y89" s="22" t="str">
        <f ca="1">IF(ATALI[[#This Row],[//]]="","",HYPERLINK("[../DB.xlsx]DB!e"&amp;MATCH(ATALI[[#This Row],[concat]],[4]!db[NB NOTA_C],0)+1,"&gt;"))</f>
        <v/>
      </c>
    </row>
    <row r="90" spans="1:25" x14ac:dyDescent="0.25">
      <c r="A90" s="4" t="s">
        <v>82</v>
      </c>
      <c r="B90" s="6">
        <f ca="1">IF(ATALI[[#This Row],[N_ID]]="","",INDEX(Table1[ID],MATCH(ATALI[[#This Row],[N_ID]],Table1[N_ID],0)))</f>
        <v>105</v>
      </c>
      <c r="C90" s="6" t="str">
        <f ca="1">IF(ATALI[[#This Row],[ID NOTA]]="","",HYPERLINK("[NOTA_.xlsx]NOTA!e"&amp;INDEX([6]!PAJAK[//],MATCH(ATALI[[#This Row],[ID NOTA]],[6]!PAJAK[ID],0)),"&gt;") )</f>
        <v>&gt;</v>
      </c>
      <c r="D90" s="6">
        <f ca="1">IF(ATALI[[#This Row],[ID NOTA]]="","",INDEX(Table1[QB],MATCH(ATALI[[#This Row],[ID NOTA]],Table1[ID],0)))</f>
        <v>6</v>
      </c>
      <c r="E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535</v>
      </c>
      <c r="F90" s="6"/>
      <c r="G90" s="3">
        <f ca="1">IF(ATALI[[#This Row],[ID NOTA]]="","",INDEX([6]!NOTA[TGL_H],MATCH(ATALI[[#This Row],[ID NOTA]],[6]!NOTA[ID],0)))</f>
        <v>44760</v>
      </c>
      <c r="H90" s="3">
        <f ca="1">IF(ATALI[[#This Row],[ID NOTA]]="","",INDEX([6]!NOTA[TGL.NOTA],MATCH(ATALI[[#This Row],[ID NOTA]],[6]!NOTA[ID],0)))</f>
        <v>44755</v>
      </c>
      <c r="I90" s="4" t="str">
        <f ca="1">IF(ATALI[[#This Row],[ID NOTA]]="","",INDEX([6]!NOTA[NO.NOTA],MATCH(ATALI[[#This Row],[ID NOTA]],[6]!NOTA[ID],0)))</f>
        <v>SA220709930</v>
      </c>
      <c r="J90" s="4" t="s">
        <v>268</v>
      </c>
      <c r="K90" s="6">
        <f ca="1">IF(ATALI[[#This Row],[//]]="","",IF(INDEX([6]!NOTA[C],ATALI[[#This Row],[//]]-2)="","",INDEX([6]!NOTA[C],ATALI[[#This Row],[//]]-2)))</f>
        <v>5</v>
      </c>
      <c r="L90" s="6">
        <f ca="1">IF(ATALI[[#This Row],[//]]="","",INDEX([6]!NOTA[QTY],ATALI[[#This Row],[//]]-2))</f>
        <v>720</v>
      </c>
      <c r="M90" s="6" t="str">
        <f ca="1">IF(ATALI[[#This Row],[//]]="","",INDEX([6]!NOTA[STN],ATALI[[#This Row],[//]]-2))</f>
        <v>SET</v>
      </c>
      <c r="N90" s="5">
        <f ca="1">IF(ATALI[[#This Row],[//]]="","",INDEX([6]!NOTA[HARGA SATUAN],ATALI[[#This Row],[//]]-2))</f>
        <v>11900</v>
      </c>
      <c r="O90" s="8">
        <f ca="1">IF(ATALI[[#This Row],[//]]="","",INDEX([6]!NOTA[DISC 1],ATALI[[#This Row],[//]]-2))</f>
        <v>0.125</v>
      </c>
      <c r="P90" s="8">
        <f ca="1">IF(ATALI[[#This Row],[//]]="","",INDEX([6]!NOTA[DISC 2],ATALI[[#This Row],[//]]-2))</f>
        <v>0.05</v>
      </c>
      <c r="Q90" s="5">
        <f ca="1">IF(ATALI[[#This Row],[//]]="","",INDEX([6]!NOTA[TOTAL],ATALI[[#This Row],[//]]-2))</f>
        <v>7122150</v>
      </c>
      <c r="R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0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4" t="str">
        <f ca="1">IF(ATALI[[#This Row],[//]]="","",INDEX([6]!NOTA[NAMA BARANG],ATALI[[#This Row],[//]]-2))</f>
        <v>OIL PASTEL OP-12S PP CASE SEA WORLD JK</v>
      </c>
      <c r="V9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90" s="4" t="s">
        <v>137</v>
      </c>
      <c r="X90" s="4" t="str">
        <f ca="1">IF(ATALI[[#This Row],[N.B.nota]]="","",ADDRESS(ROW(ATALI[QB]),COLUMN(ATALI[QB]))&amp;":"&amp;ADDRESS(ROW(),COLUMN(ATALI[QB])))</f>
        <v>$D$3:$D$90</v>
      </c>
      <c r="Y90" s="22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6" t="str">
        <f>IF(ATALI[[#This Row],[N_ID]]="","",INDEX(Table1[ID],MATCH(ATALI[[#This Row],[N_ID]],Table1[N_ID],0)))</f>
        <v/>
      </c>
      <c r="C91" s="6" t="str">
        <f>IF(ATALI[[#This Row],[ID NOTA]]="","",HYPERLINK("[NOTA_.xlsx]NOTA!e"&amp;INDEX([6]!PAJAK[//],MATCH(ATALI[[#This Row],[ID NOTA]],[6]!PAJAK[ID],0)),"&gt;") )</f>
        <v/>
      </c>
      <c r="D91" s="6" t="str">
        <f>IF(ATALI[[#This Row],[ID NOTA]]="","",INDEX(Table1[QB],MATCH(ATALI[[#This Row],[ID NOTA]],Table1[ID],0)))</f>
        <v/>
      </c>
      <c r="E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536</v>
      </c>
      <c r="F91" s="6"/>
      <c r="G91" s="3" t="str">
        <f>IF(ATALI[[#This Row],[ID NOTA]]="","",INDEX([6]!NOTA[TGL_H],MATCH(ATALI[[#This Row],[ID NOTA]],[6]!NOTA[ID],0)))</f>
        <v/>
      </c>
      <c r="H91" s="3" t="str">
        <f>IF(ATALI[[#This Row],[ID NOTA]]="","",INDEX([6]!NOTA[TGL.NOTA],MATCH(ATALI[[#This Row],[ID NOTA]],[6]!NOTA[ID],0)))</f>
        <v/>
      </c>
      <c r="I91" s="4" t="str">
        <f>IF(ATALI[[#This Row],[ID NOTA]]="","",INDEX([6]!NOTA[NO.NOTA],MATCH(ATALI[[#This Row],[ID NOTA]],[6]!NOTA[ID],0)))</f>
        <v/>
      </c>
      <c r="J91" s="4" t="s">
        <v>269</v>
      </c>
      <c r="K91" s="6">
        <f ca="1">IF(ATALI[[#This Row],[//]]="","",IF(INDEX([6]!NOTA[C],ATALI[[#This Row],[//]]-2)="","",INDEX([6]!NOTA[C],ATALI[[#This Row],[//]]-2)))</f>
        <v>5</v>
      </c>
      <c r="L91" s="6">
        <f ca="1">IF(ATALI[[#This Row],[//]]="","",INDEX([6]!NOTA[QTY],ATALI[[#This Row],[//]]-2))</f>
        <v>360</v>
      </c>
      <c r="M91" s="6" t="str">
        <f ca="1">IF(ATALI[[#This Row],[//]]="","",INDEX([6]!NOTA[STN],ATALI[[#This Row],[//]]-2))</f>
        <v>SET</v>
      </c>
      <c r="N91" s="5">
        <f ca="1">IF(ATALI[[#This Row],[//]]="","",INDEX([6]!NOTA[HARGA SATUAN],ATALI[[#This Row],[//]]-2))</f>
        <v>23000</v>
      </c>
      <c r="O91" s="8">
        <f ca="1">IF(ATALI[[#This Row],[//]]="","",INDEX([6]!NOTA[DISC 1],ATALI[[#This Row],[//]]-2))</f>
        <v>0.125</v>
      </c>
      <c r="P91" s="8">
        <f ca="1">IF(ATALI[[#This Row],[//]]="","",INDEX([6]!NOTA[DISC 2],ATALI[[#This Row],[//]]-2))</f>
        <v>0.05</v>
      </c>
      <c r="Q91" s="5">
        <f ca="1">IF(ATALI[[#This Row],[//]]="","",INDEX([6]!NOTA[TOTAL],ATALI[[#This Row],[//]]-2))</f>
        <v>6882750</v>
      </c>
      <c r="R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4" t="str">
        <f ca="1">IF(ATALI[[#This Row],[//]]="","",INDEX([6]!NOTA[NAMA BARANG],ATALI[[#This Row],[//]]-2))</f>
        <v>OIL PASTEL OP-18S PP CASE SEA WORLD JK</v>
      </c>
      <c r="V9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91" s="4" t="s">
        <v>137</v>
      </c>
      <c r="X91" s="4" t="str">
        <f ca="1">IF(ATALI[[#This Row],[N.B.nota]]="","",ADDRESS(ROW(ATALI[QB]),COLUMN(ATALI[QB]))&amp;":"&amp;ADDRESS(ROW(),COLUMN(ATALI[QB])))</f>
        <v>$D$3:$D$91</v>
      </c>
      <c r="Y91" s="22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6" t="str">
        <f>IF(ATALI[[#This Row],[N_ID]]="","",INDEX(Table1[ID],MATCH(ATALI[[#This Row],[N_ID]],Table1[N_ID],0)))</f>
        <v/>
      </c>
      <c r="C92" s="6" t="str">
        <f>IF(ATALI[[#This Row],[ID NOTA]]="","",HYPERLINK("[NOTA_.xlsx]NOTA!e"&amp;INDEX([6]!PAJAK[//],MATCH(ATALI[[#This Row],[ID NOTA]],[6]!PAJAK[ID],0)),"&gt;") )</f>
        <v/>
      </c>
      <c r="D92" s="6" t="str">
        <f>IF(ATALI[[#This Row],[ID NOTA]]="","",INDEX(Table1[QB],MATCH(ATALI[[#This Row],[ID NOTA]],Table1[ID],0)))</f>
        <v/>
      </c>
      <c r="E9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537</v>
      </c>
      <c r="F92" s="6"/>
      <c r="G92" s="3" t="str">
        <f>IF(ATALI[[#This Row],[ID NOTA]]="","",INDEX([6]!NOTA[TGL_H],MATCH(ATALI[[#This Row],[ID NOTA]],[6]!NOTA[ID],0)))</f>
        <v/>
      </c>
      <c r="H92" s="3" t="str">
        <f>IF(ATALI[[#This Row],[ID NOTA]]="","",INDEX([6]!NOTA[TGL.NOTA],MATCH(ATALI[[#This Row],[ID NOTA]],[6]!NOTA[ID],0)))</f>
        <v/>
      </c>
      <c r="I92" s="4" t="str">
        <f>IF(ATALI[[#This Row],[ID NOTA]]="","",INDEX([6]!NOTA[NO.NOTA],MATCH(ATALI[[#This Row],[ID NOTA]],[6]!NOTA[ID],0)))</f>
        <v/>
      </c>
      <c r="J92" s="4" t="s">
        <v>270</v>
      </c>
      <c r="K92" s="6">
        <f ca="1">IF(ATALI[[#This Row],[//]]="","",IF(INDEX([6]!NOTA[C],ATALI[[#This Row],[//]]-2)="","",INDEX([6]!NOTA[C],ATALI[[#This Row],[//]]-2)))</f>
        <v>5</v>
      </c>
      <c r="L92" s="6">
        <f ca="1">IF(ATALI[[#This Row],[//]]="","",INDEX([6]!NOTA[QTY],ATALI[[#This Row],[//]]-2))</f>
        <v>240</v>
      </c>
      <c r="M92" s="6" t="str">
        <f ca="1">IF(ATALI[[#This Row],[//]]="","",INDEX([6]!NOTA[STN],ATALI[[#This Row],[//]]-2))</f>
        <v>SET</v>
      </c>
      <c r="N92" s="5">
        <f ca="1">IF(ATALI[[#This Row],[//]]="","",INDEX([6]!NOTA[HARGA SATUAN],ATALI[[#This Row],[//]]-2))</f>
        <v>28700</v>
      </c>
      <c r="O92" s="8">
        <f ca="1">IF(ATALI[[#This Row],[//]]="","",INDEX([6]!NOTA[DISC 1],ATALI[[#This Row],[//]]-2))</f>
        <v>0.125</v>
      </c>
      <c r="P92" s="8">
        <f ca="1">IF(ATALI[[#This Row],[//]]="","",INDEX([6]!NOTA[DISC 2],ATALI[[#This Row],[//]]-2))</f>
        <v>0.05</v>
      </c>
      <c r="Q92" s="5">
        <f ca="1">IF(ATALI[[#This Row],[//]]="","",INDEX([6]!NOTA[TOTAL],ATALI[[#This Row],[//]]-2))</f>
        <v>5725650</v>
      </c>
      <c r="R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2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4" t="str">
        <f ca="1">IF(ATALI[[#This Row],[//]]="","",INDEX([6]!NOTA[NAMA BARANG],ATALI[[#This Row],[//]]-2))</f>
        <v>OIL PASTEL OP-24S PP CASE SEA WORLD JK</v>
      </c>
      <c r="V9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92" s="4" t="s">
        <v>137</v>
      </c>
      <c r="X92" s="4" t="str">
        <f ca="1">IF(ATALI[[#This Row],[N.B.nota]]="","",ADDRESS(ROW(ATALI[QB]),COLUMN(ATALI[QB]))&amp;":"&amp;ADDRESS(ROW(),COLUMN(ATALI[QB])))</f>
        <v>$D$3:$D$92</v>
      </c>
      <c r="Y92" s="22" t="str">
        <f ca="1">IF(ATALI[[#This Row],[//]]="","",HYPERLINK("[../DB.xlsx]DB!e"&amp;MATCH(ATALI[[#This Row],[concat]],[4]!db[NB NOTA_C],0)+1,"&gt;"))</f>
        <v>&gt;</v>
      </c>
    </row>
    <row r="93" spans="1:25" x14ac:dyDescent="0.25">
      <c r="A93" s="4"/>
      <c r="B93" s="6" t="str">
        <f>IF(ATALI[[#This Row],[N_ID]]="","",INDEX(Table1[ID],MATCH(ATALI[[#This Row],[N_ID]],Table1[N_ID],0)))</f>
        <v/>
      </c>
      <c r="C93" s="6" t="str">
        <f>IF(ATALI[[#This Row],[ID NOTA]]="","",HYPERLINK("[NOTA_.xlsx]NOTA!e"&amp;INDEX([6]!PAJAK[//],MATCH(ATALI[[#This Row],[ID NOTA]],[6]!PAJAK[ID],0)),"&gt;") )</f>
        <v/>
      </c>
      <c r="D93" s="6" t="str">
        <f>IF(ATALI[[#This Row],[ID NOTA]]="","",INDEX(Table1[QB],MATCH(ATALI[[#This Row],[ID NOTA]],Table1[ID],0)))</f>
        <v/>
      </c>
      <c r="E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538</v>
      </c>
      <c r="F93" s="6"/>
      <c r="G93" s="3" t="str">
        <f>IF(ATALI[[#This Row],[ID NOTA]]="","",INDEX([6]!NOTA[TGL_H],MATCH(ATALI[[#This Row],[ID NOTA]],[6]!NOTA[ID],0)))</f>
        <v/>
      </c>
      <c r="H93" s="3" t="str">
        <f>IF(ATALI[[#This Row],[ID NOTA]]="","",INDEX([6]!NOTA[TGL.NOTA],MATCH(ATALI[[#This Row],[ID NOTA]],[6]!NOTA[ID],0)))</f>
        <v/>
      </c>
      <c r="I93" s="4" t="str">
        <f>IF(ATALI[[#This Row],[ID NOTA]]="","",INDEX([6]!NOTA[NO.NOTA],MATCH(ATALI[[#This Row],[ID NOTA]],[6]!NOTA[ID],0)))</f>
        <v/>
      </c>
      <c r="J93" s="4" t="s">
        <v>306</v>
      </c>
      <c r="K93" s="6">
        <f ca="1">IF(ATALI[[#This Row],[//]]="","",IF(INDEX([6]!NOTA[C],ATALI[[#This Row],[//]]-2)="","",INDEX([6]!NOTA[C],ATALI[[#This Row],[//]]-2)))</f>
        <v>5</v>
      </c>
      <c r="L93" s="6">
        <f ca="1">IF(ATALI[[#This Row],[//]]="","",INDEX([6]!NOTA[QTY],ATALI[[#This Row],[//]]-2))</f>
        <v>180</v>
      </c>
      <c r="M93" s="6" t="str">
        <f ca="1">IF(ATALI[[#This Row],[//]]="","",INDEX([6]!NOTA[STN],ATALI[[#This Row],[//]]-2))</f>
        <v>SET</v>
      </c>
      <c r="N93" s="5">
        <f ca="1">IF(ATALI[[#This Row],[//]]="","",INDEX([6]!NOTA[HARGA SATUAN],ATALI[[#This Row],[//]]-2))</f>
        <v>41500</v>
      </c>
      <c r="O93" s="8">
        <f ca="1">IF(ATALI[[#This Row],[//]]="","",INDEX([6]!NOTA[DISC 1],ATALI[[#This Row],[//]]-2))</f>
        <v>0.125</v>
      </c>
      <c r="P93" s="8">
        <f ca="1">IF(ATALI[[#This Row],[//]]="","",INDEX([6]!NOTA[DISC 2],ATALI[[#This Row],[//]]-2))</f>
        <v>0.05</v>
      </c>
      <c r="Q93" s="5">
        <f ca="1">IF(ATALI[[#This Row],[//]]="","",INDEX([6]!NOTA[TOTAL],ATALI[[#This Row],[//]]-2))</f>
        <v>6209437.5</v>
      </c>
      <c r="R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3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4" t="str">
        <f ca="1">IF(ATALI[[#This Row],[//]]="","",INDEX([6]!NOTA[NAMA BARANG],ATALI[[#This Row],[//]]-2))</f>
        <v>OIL PASTEL OP-36S PP CASE SEA WORLD JK</v>
      </c>
      <c r="V9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93" s="4" t="s">
        <v>137</v>
      </c>
      <c r="X93" s="4" t="str">
        <f ca="1">IF(ATALI[[#This Row],[N.B.nota]]="","",ADDRESS(ROW(ATALI[QB]),COLUMN(ATALI[QB]))&amp;":"&amp;ADDRESS(ROW(),COLUMN(ATALI[QB])))</f>
        <v>$D$3:$D$93</v>
      </c>
      <c r="Y93" s="22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6" t="str">
        <f>IF(ATALI[[#This Row],[N_ID]]="","",INDEX(Table1[ID],MATCH(ATALI[[#This Row],[N_ID]],Table1[N_ID],0)))</f>
        <v/>
      </c>
      <c r="C94" s="6" t="str">
        <f>IF(ATALI[[#This Row],[ID NOTA]]="","",HYPERLINK("[NOTA_.xlsx]NOTA!e"&amp;INDEX([6]!PAJAK[//],MATCH(ATALI[[#This Row],[ID NOTA]],[6]!PAJAK[ID],0)),"&gt;") )</f>
        <v/>
      </c>
      <c r="D94" s="6" t="str">
        <f>IF(ATALI[[#This Row],[ID NOTA]]="","",INDEX(Table1[QB],MATCH(ATALI[[#This Row],[ID NOTA]],Table1[ID],0)))</f>
        <v/>
      </c>
      <c r="E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539</v>
      </c>
      <c r="F94" s="6"/>
      <c r="G94" s="3" t="str">
        <f>IF(ATALI[[#This Row],[ID NOTA]]="","",INDEX([6]!NOTA[TGL_H],MATCH(ATALI[[#This Row],[ID NOTA]],[6]!NOTA[ID],0)))</f>
        <v/>
      </c>
      <c r="H94" s="3" t="str">
        <f>IF(ATALI[[#This Row],[ID NOTA]]="","",INDEX([6]!NOTA[TGL.NOTA],MATCH(ATALI[[#This Row],[ID NOTA]],[6]!NOTA[ID],0)))</f>
        <v/>
      </c>
      <c r="I94" s="4" t="str">
        <f>IF(ATALI[[#This Row],[ID NOTA]]="","",INDEX([6]!NOTA[NO.NOTA],MATCH(ATALI[[#This Row],[ID NOTA]],[6]!NOTA[ID],0)))</f>
        <v/>
      </c>
      <c r="J94" s="4" t="s">
        <v>307</v>
      </c>
      <c r="K94" s="6">
        <f ca="1">IF(ATALI[[#This Row],[//]]="","",IF(INDEX([6]!NOTA[C],ATALI[[#This Row],[//]]-2)="","",INDEX([6]!NOTA[C],ATALI[[#This Row],[//]]-2)))</f>
        <v>4</v>
      </c>
      <c r="L94" s="6">
        <f ca="1">IF(ATALI[[#This Row],[//]]="","",INDEX([6]!NOTA[QTY],ATALI[[#This Row],[//]]-2))</f>
        <v>576</v>
      </c>
      <c r="M94" s="6" t="str">
        <f ca="1">IF(ATALI[[#This Row],[//]]="","",INDEX([6]!NOTA[STN],ATALI[[#This Row],[//]]-2))</f>
        <v>SET</v>
      </c>
      <c r="N94" s="5">
        <f ca="1">IF(ATALI[[#This Row],[//]]="","",INDEX([6]!NOTA[HARGA SATUAN],ATALI[[#This Row],[//]]-2))</f>
        <v>18000</v>
      </c>
      <c r="O94" s="8">
        <f ca="1">IF(ATALI[[#This Row],[//]]="","",INDEX([6]!NOTA[DISC 1],ATALI[[#This Row],[//]]-2))</f>
        <v>0.125</v>
      </c>
      <c r="P94" s="8">
        <f ca="1">IF(ATALI[[#This Row],[//]]="","",INDEX([6]!NOTA[DISC 2],ATALI[[#This Row],[//]]-2))</f>
        <v>0.05</v>
      </c>
      <c r="Q94" s="5">
        <f ca="1">IF(ATALI[[#This Row],[//]]="","",INDEX([6]!NOTA[TOTAL],ATALI[[#This Row],[//]]-2))</f>
        <v>8618400</v>
      </c>
      <c r="R9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4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4" t="str">
        <f ca="1">IF(ATALI[[#This Row],[//]]="","",INDEX([6]!NOTA[NAMA BARANG],ATALI[[#This Row],[//]]-2))</f>
        <v>CRAYON PUTAR TWCR-12MINI JK</v>
      </c>
      <c r="V94" s="4" t="str">
        <f ca="1">LOWER(SUBSTITUTE(SUBSTITUTE(SUBSTITUTE(SUBSTITUTE(SUBSTITUTE(SUBSTITUTE(SUBSTITUTE(ATALI[[#This Row],[N.B.nota]]," ",""),"-",""),"(",""),")",""),".",""),",",""),"/",""))</f>
        <v>crayonputartwcr12minijk</v>
      </c>
      <c r="W94" s="4" t="s">
        <v>137</v>
      </c>
      <c r="X94" s="4" t="str">
        <f ca="1">IF(ATALI[[#This Row],[N.B.nota]]="","",ADDRESS(ROW(ATALI[QB]),COLUMN(ATALI[QB]))&amp;":"&amp;ADDRESS(ROW(),COLUMN(ATALI[QB])))</f>
        <v>$D$3:$D$94</v>
      </c>
      <c r="Y94" s="22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6" t="str">
        <f>IF(ATALI[[#This Row],[N_ID]]="","",INDEX(Table1[ID],MATCH(ATALI[[#This Row],[N_ID]],Table1[N_ID],0)))</f>
        <v/>
      </c>
      <c r="C95" s="6" t="str">
        <f>IF(ATALI[[#This Row],[ID NOTA]]="","",HYPERLINK("[NOTA_.xlsx]NOTA!e"&amp;INDEX([6]!PAJAK[//],MATCH(ATALI[[#This Row],[ID NOTA]],[6]!PAJAK[ID],0)),"&gt;") )</f>
        <v/>
      </c>
      <c r="D95" s="6" t="str">
        <f>IF(ATALI[[#This Row],[ID NOTA]]="","",INDEX(Table1[QB],MATCH(ATALI[[#This Row],[ID NOTA]],Table1[ID],0)))</f>
        <v/>
      </c>
      <c r="E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540</v>
      </c>
      <c r="F95" s="6"/>
      <c r="G95" s="3" t="str">
        <f>IF(ATALI[[#This Row],[ID NOTA]]="","",INDEX([6]!NOTA[TGL_H],MATCH(ATALI[[#This Row],[ID NOTA]],[6]!NOTA[ID],0)))</f>
        <v/>
      </c>
      <c r="H95" s="3" t="str">
        <f>IF(ATALI[[#This Row],[ID NOTA]]="","",INDEX([6]!NOTA[TGL.NOTA],MATCH(ATALI[[#This Row],[ID NOTA]],[6]!NOTA[ID],0)))</f>
        <v/>
      </c>
      <c r="I95" s="4" t="str">
        <f>IF(ATALI[[#This Row],[ID NOTA]]="","",INDEX([6]!NOTA[NO.NOTA],MATCH(ATALI[[#This Row],[ID NOTA]],[6]!NOTA[ID],0)))</f>
        <v/>
      </c>
      <c r="J95" s="4" t="s">
        <v>255</v>
      </c>
      <c r="K95" s="6">
        <f ca="1">IF(ATALI[[#This Row],[//]]="","",IF(INDEX([6]!NOTA[C],ATALI[[#This Row],[//]]-2)="","",INDEX([6]!NOTA[C],ATALI[[#This Row],[//]]-2)))</f>
        <v>1</v>
      </c>
      <c r="L95" s="6">
        <f ca="1">IF(ATALI[[#This Row],[//]]="","",INDEX([6]!NOTA[QTY],ATALI[[#This Row],[//]]-2))</f>
        <v>144</v>
      </c>
      <c r="M95" s="6" t="str">
        <f ca="1">IF(ATALI[[#This Row],[//]]="","",INDEX([6]!NOTA[STN],ATALI[[#This Row],[//]]-2))</f>
        <v>DZ</v>
      </c>
      <c r="N95" s="5">
        <f ca="1">IF(ATALI[[#This Row],[//]]="","",INDEX([6]!NOTA[HARGA SATUAN],ATALI[[#This Row],[//]]-2))</f>
        <v>12600</v>
      </c>
      <c r="O95" s="8">
        <f ca="1">IF(ATALI[[#This Row],[//]]="","",INDEX([6]!NOTA[DISC 1],ATALI[[#This Row],[//]]-2))</f>
        <v>0.125</v>
      </c>
      <c r="P95" s="8">
        <f ca="1">IF(ATALI[[#This Row],[//]]="","",INDEX([6]!NOTA[DISC 2],ATALI[[#This Row],[//]]-2))</f>
        <v>0.05</v>
      </c>
      <c r="Q95" s="5">
        <f ca="1">IF(ATALI[[#This Row],[//]]="","",INDEX([6]!NOTA[TOTAL],ATALI[[#This Row],[//]]-2))</f>
        <v>1508220</v>
      </c>
      <c r="R9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1508220</v>
      </c>
      <c r="S9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34558387.5</v>
      </c>
      <c r="T95" s="21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95" s="4" t="str">
        <f ca="1">IF(ATALI[[#This Row],[//]]="","",INDEX([6]!NOTA[NAMA BARANG],ATALI[[#This Row],[//]]-2))</f>
        <v>BALLPEN BP-338 VOCUS (BLACK) JK</v>
      </c>
      <c r="V95" s="4" t="str">
        <f ca="1">LOWER(SUBSTITUTE(SUBSTITUTE(SUBSTITUTE(SUBSTITUTE(SUBSTITUTE(SUBSTITUTE(SUBSTITUTE(ATALI[[#This Row],[N.B.nota]]," ",""),"-",""),"(",""),")",""),".",""),",",""),"/",""))</f>
        <v>ballpenbp338vocusblackjk</v>
      </c>
      <c r="W95" s="4" t="s">
        <v>137</v>
      </c>
      <c r="X95" s="4" t="str">
        <f ca="1">IF(ATALI[[#This Row],[N.B.nota]]="","",ADDRESS(ROW(ATALI[QB]),COLUMN(ATALI[QB]))&amp;":"&amp;ADDRESS(ROW(),COLUMN(ATALI[QB])))</f>
        <v>$D$3:$D$95</v>
      </c>
      <c r="Y95" s="22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6" t="str">
        <f>IF(ATALI[[#This Row],[N_ID]]="","",INDEX(Table1[ID],MATCH(ATALI[[#This Row],[N_ID]],Table1[N_ID],0)))</f>
        <v/>
      </c>
      <c r="C96" s="6" t="str">
        <f>IF(ATALI[[#This Row],[ID NOTA]]="","",HYPERLINK("[NOTA_.xlsx]NOTA!e"&amp;INDEX([6]!PAJAK[//],MATCH(ATALI[[#This Row],[ID NOTA]],[6]!PAJAK[ID],0)),"&gt;") )</f>
        <v/>
      </c>
      <c r="D96" s="6" t="str">
        <f>IF(ATALI[[#This Row],[ID NOTA]]="","",INDEX(Table1[QB],MATCH(ATALI[[#This Row],[ID NOTA]],Table1[ID],0)))</f>
        <v/>
      </c>
      <c r="E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6" s="6"/>
      <c r="G96" s="3" t="str">
        <f>IF(ATALI[[#This Row],[ID NOTA]]="","",INDEX([6]!NOTA[TGL_H],MATCH(ATALI[[#This Row],[ID NOTA]],[6]!NOTA[ID],0)))</f>
        <v/>
      </c>
      <c r="H96" s="3" t="str">
        <f>IF(ATALI[[#This Row],[ID NOTA]]="","",INDEX([6]!NOTA[TGL.NOTA],MATCH(ATALI[[#This Row],[ID NOTA]],[6]!NOTA[ID],0)))</f>
        <v/>
      </c>
      <c r="I96" s="4" t="str">
        <f>IF(ATALI[[#This Row],[ID NOTA]]="","",INDEX([6]!NOTA[NO.NOTA],MATCH(ATALI[[#This Row],[ID NOTA]],[6]!NOTA[ID],0)))</f>
        <v/>
      </c>
      <c r="J96" s="4" t="s">
        <v>136</v>
      </c>
      <c r="K96" s="6" t="str">
        <f ca="1">IF(ATALI[[#This Row],[//]]="","",IF(INDEX([6]!NOTA[C],ATALI[[#This Row],[//]]-2)="","",INDEX([6]!NOTA[C],ATALI[[#This Row],[//]]-2)))</f>
        <v/>
      </c>
      <c r="L96" s="6" t="str">
        <f ca="1">IF(ATALI[[#This Row],[//]]="","",INDEX([6]!NOTA[QTY],ATALI[[#This Row],[//]]-2))</f>
        <v/>
      </c>
      <c r="M96" s="6" t="str">
        <f ca="1">IF(ATALI[[#This Row],[//]]="","",INDEX([6]!NOTA[STN],ATALI[[#This Row],[//]]-2))</f>
        <v/>
      </c>
      <c r="N96" s="5" t="str">
        <f ca="1">IF(ATALI[[#This Row],[//]]="","",INDEX([6]!NOTA[HARGA SATUAN],ATALI[[#This Row],[//]]-2))</f>
        <v/>
      </c>
      <c r="O96" s="8" t="str">
        <f ca="1">IF(ATALI[[#This Row],[//]]="","",INDEX([6]!NOTA[DISC 1],ATALI[[#This Row],[//]]-2))</f>
        <v/>
      </c>
      <c r="P96" s="8" t="str">
        <f ca="1">IF(ATALI[[#This Row],[//]]="","",INDEX([6]!NOTA[DISC 2],ATALI[[#This Row],[//]]-2))</f>
        <v/>
      </c>
      <c r="Q96" s="5" t="str">
        <f ca="1">IF(ATALI[[#This Row],[//]]="","",INDEX([6]!NOTA[TOTAL],ATALI[[#This Row],[//]]-2))</f>
        <v/>
      </c>
      <c r="R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6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4" t="str">
        <f ca="1">IF(ATALI[[#This Row],[//]]="","",INDEX([6]!NOTA[NAMA BARANG],ATALI[[#This Row],[//]]-2))</f>
        <v/>
      </c>
      <c r="V96" s="4" t="str">
        <f ca="1">LOWER(SUBSTITUTE(SUBSTITUTE(SUBSTITUTE(SUBSTITUTE(SUBSTITUTE(SUBSTITUTE(SUBSTITUTE(ATALI[[#This Row],[N.B.nota]]," ",""),"-",""),"(",""),")",""),".",""),",",""),"/",""))</f>
        <v/>
      </c>
      <c r="W96" s="4" t="s">
        <v>136</v>
      </c>
      <c r="X96" s="4" t="str">
        <f ca="1">IF(ATALI[[#This Row],[N.B.nota]]="","",ADDRESS(ROW(ATALI[QB]),COLUMN(ATALI[QB]))&amp;":"&amp;ADDRESS(ROW(),COLUMN(ATALI[QB])))</f>
        <v/>
      </c>
      <c r="Y96" s="22" t="str">
        <f ca="1">IF(ATALI[[#This Row],[//]]="","",HYPERLINK("[../DB.xlsx]DB!e"&amp;MATCH(ATALI[[#This Row],[concat]],[4]!db[NB NOTA_C],0)+1,"&gt;"))</f>
        <v/>
      </c>
    </row>
    <row r="97" spans="1:25" x14ac:dyDescent="0.25">
      <c r="A97" s="2" t="s">
        <v>88</v>
      </c>
      <c r="B97" s="6">
        <f ca="1">IF(ATALI[[#This Row],[N_ID]]="","",INDEX(Table1[ID],MATCH(ATALI[[#This Row],[N_ID]],Table1[N_ID],0)))</f>
        <v>124</v>
      </c>
      <c r="C97" s="6" t="str">
        <f ca="1">IF(ATALI[[#This Row],[ID NOTA]]="","",HYPERLINK("[NOTA_.xlsx]NOTA!e"&amp;INDEX([6]!PAJAK[//],MATCH(ATALI[[#This Row],[ID NOTA]],[6]!PAJAK[ID],0)),"&gt;") )</f>
        <v>&gt;</v>
      </c>
      <c r="D97" s="6">
        <f ca="1">IF(ATALI[[#This Row],[ID NOTA]]="","",INDEX(Table1[QB],MATCH(ATALI[[#This Row],[ID NOTA]],Table1[ID],0)))</f>
        <v>1</v>
      </c>
      <c r="E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650</v>
      </c>
      <c r="F97" s="6"/>
      <c r="G97" s="3">
        <f ca="1">IF(ATALI[[#This Row],[ID NOTA]]="","",INDEX([6]!NOTA[TGL_H],MATCH(ATALI[[#This Row],[ID NOTA]],[6]!NOTA[ID],0)))</f>
        <v>44762</v>
      </c>
      <c r="H97" s="3">
        <f ca="1">IF(ATALI[[#This Row],[ID NOTA]]="","",INDEX([6]!NOTA[TGL.NOTA],MATCH(ATALI[[#This Row],[ID NOTA]],[6]!NOTA[ID],0)))</f>
        <v>44756</v>
      </c>
      <c r="I97" s="4" t="str">
        <f ca="1">IF(ATALI[[#This Row],[ID NOTA]]="","",INDEX([6]!NOTA[NO.NOTA],MATCH(ATALI[[#This Row],[ID NOTA]],[6]!NOTA[ID],0)))</f>
        <v>SA220709953</v>
      </c>
      <c r="J97" s="4" t="s">
        <v>278</v>
      </c>
      <c r="K97" s="6">
        <f ca="1">IF(ATALI[[#This Row],[//]]="","",IF(INDEX([6]!NOTA[C],ATALI[[#This Row],[//]]-2)="","",INDEX([6]!NOTA[C],ATALI[[#This Row],[//]]-2)))</f>
        <v>15</v>
      </c>
      <c r="L97" s="6">
        <f ca="1">IF(ATALI[[#This Row],[//]]="","",INDEX([6]!NOTA[QTY],ATALI[[#This Row],[//]]-2))</f>
        <v>2160</v>
      </c>
      <c r="M97" s="6" t="str">
        <f ca="1">IF(ATALI[[#This Row],[//]]="","",INDEX([6]!NOTA[STN],ATALI[[#This Row],[//]]-2))</f>
        <v>SET</v>
      </c>
      <c r="N97" s="5">
        <f ca="1">IF(ATALI[[#This Row],[//]]="","",INDEX([6]!NOTA[HARGA SATUAN],ATALI[[#This Row],[//]]-2))</f>
        <v>9600</v>
      </c>
      <c r="O97" s="8">
        <f ca="1">IF(ATALI[[#This Row],[//]]="","",INDEX([6]!NOTA[DISC 1],ATALI[[#This Row],[//]]-2))</f>
        <v>0.125</v>
      </c>
      <c r="P97" s="8">
        <f ca="1">IF(ATALI[[#This Row],[//]]="","",INDEX([6]!NOTA[DISC 2],ATALI[[#This Row],[//]]-2))</f>
        <v>0.05</v>
      </c>
      <c r="Q97" s="5">
        <f ca="1">IF(ATALI[[#This Row],[//]]="","",INDEX([6]!NOTA[TOTAL],ATALI[[#This Row],[//]]-2))</f>
        <v>17236800</v>
      </c>
      <c r="R9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17236800</v>
      </c>
      <c r="T97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4" t="str">
        <f ca="1">IF(ATALI[[#This Row],[//]]="","",INDEX([6]!NOTA[NAMA BARANG],ATALI[[#This Row],[//]]-2))</f>
        <v>COLOR PENCIL CP-100 (12C) JK</v>
      </c>
      <c r="V97" s="4" t="str">
        <f ca="1">LOWER(SUBSTITUTE(SUBSTITUTE(SUBSTITUTE(SUBSTITUTE(SUBSTITUTE(SUBSTITUTE(SUBSTITUTE(ATALI[[#This Row],[N.B.nota]]," ",""),"-",""),"(",""),")",""),".",""),",",""),"/",""))</f>
        <v>colorpencilcp10012cjk</v>
      </c>
      <c r="W97" s="4" t="s">
        <v>137</v>
      </c>
      <c r="X97" s="4" t="str">
        <f ca="1">IF(ATALI[[#This Row],[N.B.nota]]="","",ADDRESS(ROW(ATALI[QB]),COLUMN(ATALI[QB]))&amp;":"&amp;ADDRESS(ROW(),COLUMN(ATALI[QB])))</f>
        <v>$D$3:$D$97</v>
      </c>
      <c r="Y97" s="22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2"/>
      <c r="B98" s="6" t="str">
        <f>IF(ATALI[[#This Row],[N_ID]]="","",INDEX(Table1[ID],MATCH(ATALI[[#This Row],[N_ID]],Table1[N_ID],0)))</f>
        <v/>
      </c>
      <c r="C98" s="6" t="str">
        <f>IF(ATALI[[#This Row],[ID NOTA]]="","",HYPERLINK("[NOTA_.xlsx]NOTA!e"&amp;INDEX([6]!PAJAK[//],MATCH(ATALI[[#This Row],[ID NOTA]],[6]!PAJAK[ID],0)),"&gt;") )</f>
        <v/>
      </c>
      <c r="D98" s="6" t="str">
        <f>IF(ATALI[[#This Row],[ID NOTA]]="","",INDEX(Table1[QB],MATCH(ATALI[[#This Row],[ID NOTA]],Table1[ID],0)))</f>
        <v/>
      </c>
      <c r="E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8" s="6"/>
      <c r="G98" s="3" t="str">
        <f>IF(ATALI[[#This Row],[ID NOTA]]="","",INDEX([6]!NOTA[TGL_H],MATCH(ATALI[[#This Row],[ID NOTA]],[6]!NOTA[ID],0)))</f>
        <v/>
      </c>
      <c r="H98" s="3" t="str">
        <f>IF(ATALI[[#This Row],[ID NOTA]]="","",INDEX([6]!NOTA[TGL.NOTA],MATCH(ATALI[[#This Row],[ID NOTA]],[6]!NOTA[ID],0)))</f>
        <v/>
      </c>
      <c r="I98" s="4" t="str">
        <f>IF(ATALI[[#This Row],[ID NOTA]]="","",INDEX([6]!NOTA[NO.NOTA],MATCH(ATALI[[#This Row],[ID NOTA]],[6]!NOTA[ID],0)))</f>
        <v/>
      </c>
      <c r="J98" s="4" t="s">
        <v>136</v>
      </c>
      <c r="K98" s="6" t="str">
        <f ca="1">IF(ATALI[[#This Row],[//]]="","",IF(INDEX([6]!NOTA[C],ATALI[[#This Row],[//]]-2)="","",INDEX([6]!NOTA[C],ATALI[[#This Row],[//]]-2)))</f>
        <v/>
      </c>
      <c r="L98" s="6" t="str">
        <f ca="1">IF(ATALI[[#This Row],[//]]="","",INDEX([6]!NOTA[QTY],ATALI[[#This Row],[//]]-2))</f>
        <v/>
      </c>
      <c r="M98" s="6" t="str">
        <f ca="1">IF(ATALI[[#This Row],[//]]="","",INDEX([6]!NOTA[STN],ATALI[[#This Row],[//]]-2))</f>
        <v/>
      </c>
      <c r="N98" s="5" t="str">
        <f ca="1">IF(ATALI[[#This Row],[//]]="","",INDEX([6]!NOTA[HARGA SATUAN],ATALI[[#This Row],[//]]-2))</f>
        <v/>
      </c>
      <c r="O98" s="8" t="str">
        <f ca="1">IF(ATALI[[#This Row],[//]]="","",INDEX([6]!NOTA[DISC 1],ATALI[[#This Row],[//]]-2))</f>
        <v/>
      </c>
      <c r="P98" s="8" t="str">
        <f ca="1">IF(ATALI[[#This Row],[//]]="","",INDEX([6]!NOTA[DISC 2],ATALI[[#This Row],[//]]-2))</f>
        <v/>
      </c>
      <c r="Q98" s="5" t="str">
        <f ca="1">IF(ATALI[[#This Row],[//]]="","",INDEX([6]!NOTA[TOTAL],ATALI[[#This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8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4" t="str">
        <f ca="1">IF(ATALI[[#This Row],[//]]="","",INDEX([6]!NOTA[NAMA BARANG],ATALI[[#This Row],[//]]-2))</f>
        <v/>
      </c>
      <c r="V98" s="4" t="str">
        <f ca="1">LOWER(SUBSTITUTE(SUBSTITUTE(SUBSTITUTE(SUBSTITUTE(SUBSTITUTE(SUBSTITUTE(SUBSTITUTE(ATALI[[#This Row],[N.B.nota]]," ",""),"-",""),"(",""),")",""),".",""),",",""),"/",""))</f>
        <v/>
      </c>
      <c r="W98" s="4" t="s">
        <v>136</v>
      </c>
      <c r="X98" s="4" t="str">
        <f ca="1">IF(ATALI[[#This Row],[N.B.nota]]="","",ADDRESS(ROW(ATALI[QB]),COLUMN(ATALI[QB]))&amp;":"&amp;ADDRESS(ROW(),COLUMN(ATALI[QB])))</f>
        <v/>
      </c>
      <c r="Y98" s="22" t="str">
        <f ca="1">IF(ATALI[[#This Row],[//]]="","",HYPERLINK("[../DB.xlsx]DB!e"&amp;MATCH(ATALI[[#This Row],[concat]],[4]!db[NB NOTA_C],0)+1,"&gt;"))</f>
        <v/>
      </c>
    </row>
    <row r="99" spans="1:25" x14ac:dyDescent="0.25">
      <c r="A99" s="2" t="s">
        <v>89</v>
      </c>
      <c r="B99" s="6">
        <f ca="1">IF(ATALI[[#This Row],[N_ID]]="","",INDEX(Table1[ID],MATCH(ATALI[[#This Row],[N_ID]],Table1[N_ID],0)))</f>
        <v>125</v>
      </c>
      <c r="C99" s="6" t="str">
        <f ca="1">IF(ATALI[[#This Row],[ID NOTA]]="","",HYPERLINK("[NOTA_.xlsx]NOTA!e"&amp;INDEX([6]!PAJAK[//],MATCH(ATALI[[#This Row],[ID NOTA]],[6]!PAJAK[ID],0)),"&gt;") )</f>
        <v>&gt;</v>
      </c>
      <c r="D99" s="6">
        <f ca="1">IF(ATALI[[#This Row],[ID NOTA]]="","",INDEX(Table1[QB],MATCH(ATALI[[#This Row],[ID NOTA]],Table1[ID],0)))</f>
        <v>2</v>
      </c>
      <c r="E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652</v>
      </c>
      <c r="F99" s="6"/>
      <c r="G99" s="3">
        <f ca="1">IF(ATALI[[#This Row],[ID NOTA]]="","",INDEX([6]!NOTA[TGL_H],MATCH(ATALI[[#This Row],[ID NOTA]],[6]!NOTA[ID],0)))</f>
        <v>44762</v>
      </c>
      <c r="H99" s="3">
        <f ca="1">IF(ATALI[[#This Row],[ID NOTA]]="","",INDEX([6]!NOTA[TGL.NOTA],MATCH(ATALI[[#This Row],[ID NOTA]],[6]!NOTA[ID],0)))</f>
        <v>44756</v>
      </c>
      <c r="I99" s="4" t="str">
        <f ca="1">IF(ATALI[[#This Row],[ID NOTA]]="","",INDEX([6]!NOTA[NO.NOTA],MATCH(ATALI[[#This Row],[ID NOTA]],[6]!NOTA[ID],0)))</f>
        <v>SA220710026</v>
      </c>
      <c r="J99" s="4" t="s">
        <v>259</v>
      </c>
      <c r="K99" s="6">
        <f ca="1">IF(ATALI[[#This Row],[//]]="","",IF(INDEX([6]!NOTA[C],ATALI[[#This Row],[//]]-2)="","",INDEX([6]!NOTA[C],ATALI[[#This Row],[//]]-2)))</f>
        <v>10</v>
      </c>
      <c r="L99" s="6">
        <f ca="1">IF(ATALI[[#This Row],[//]]="","",INDEX([6]!NOTA[QTY],ATALI[[#This Row],[//]]-2))</f>
        <v>1440</v>
      </c>
      <c r="M99" s="6" t="str">
        <f ca="1">IF(ATALI[[#This Row],[//]]="","",INDEX([6]!NOTA[STN],ATALI[[#This Row],[//]]-2))</f>
        <v>SET</v>
      </c>
      <c r="N99" s="5">
        <f ca="1">IF(ATALI[[#This Row],[//]]="","",INDEX([6]!NOTA[HARGA SATUAN],ATALI[[#This Row],[//]]-2))</f>
        <v>11600</v>
      </c>
      <c r="O99" s="8">
        <f ca="1">IF(ATALI[[#This Row],[//]]="","",INDEX([6]!NOTA[DISC 1],ATALI[[#This Row],[//]]-2))</f>
        <v>0.125</v>
      </c>
      <c r="P99" s="8">
        <f ca="1">IF(ATALI[[#This Row],[//]]="","",INDEX([6]!NOTA[DISC 2],ATALI[[#This Row],[//]]-2))</f>
        <v>0.05</v>
      </c>
      <c r="Q99" s="5">
        <f ca="1">IF(ATALI[[#This Row],[//]]="","",INDEX([6]!NOTA[TOTAL],ATALI[[#This Row],[//]]-2))</f>
        <v>13885200</v>
      </c>
      <c r="R9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4" t="str">
        <f ca="1">IF(ATALI[[#This Row],[//]]="","",INDEX([6]!NOTA[NAMA BARANG],ATALI[[#This Row],[//]]-2))</f>
        <v>OIL PASTEL OP-12CHC COMPACT JK</v>
      </c>
      <c r="V99" s="4" t="str">
        <f ca="1">LOWER(SUBSTITUTE(SUBSTITUTE(SUBSTITUTE(SUBSTITUTE(SUBSTITUTE(SUBSTITUTE(SUBSTITUTE(ATALI[[#This Row],[N.B.nota]]," ",""),"-",""),"(",""),")",""),".",""),",",""),"/",""))</f>
        <v>oilpastelop12chccompactjk</v>
      </c>
      <c r="W99" s="4" t="s">
        <v>137</v>
      </c>
      <c r="X99" s="4" t="str">
        <f ca="1">IF(ATALI[[#This Row],[N.B.nota]]="","",ADDRESS(ROW(ATALI[QB]),COLUMN(ATALI[QB]))&amp;":"&amp;ADDRESS(ROW(),COLUMN(ATALI[QB])))</f>
        <v>$D$3:$D$99</v>
      </c>
      <c r="Y99" s="22" t="str">
        <f ca="1">IF(ATALI[[#This Row],[//]]="","",HYPERLINK("[../DB.xlsx]DB!e"&amp;MATCH(ATALI[[#This Row],[concat]],[4]!db[NB NOTA_C],0)+1,"&gt;"))</f>
        <v>&gt;</v>
      </c>
    </row>
    <row r="100" spans="1:25" x14ac:dyDescent="0.25">
      <c r="A100" s="19"/>
      <c r="B100" s="6" t="str">
        <f>IF(ATALI[[#This Row],[N_ID]]="","",INDEX(Table1[ID],MATCH(ATALI[[#This Row],[N_ID]],Table1[N_ID],0)))</f>
        <v/>
      </c>
      <c r="C100" s="6" t="str">
        <f>IF(ATALI[[#This Row],[ID NOTA]]="","",HYPERLINK("[NOTA_.xlsx]NOTA!e"&amp;INDEX([6]!PAJAK[//],MATCH(ATALI[[#This Row],[ID NOTA]],[6]!PAJAK[ID],0)),"&gt;") )</f>
        <v/>
      </c>
      <c r="D100" s="6" t="str">
        <f>IF(ATALI[[#This Row],[ID NOTA]]="","",INDEX(Table1[QB],MATCH(ATALI[[#This Row],[ID NOTA]],Table1[ID],0)))</f>
        <v/>
      </c>
      <c r="E1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653</v>
      </c>
      <c r="F100" s="6"/>
      <c r="G100" s="3" t="str">
        <f>IF(ATALI[[#This Row],[ID NOTA]]="","",INDEX([6]!NOTA[TGL_H],MATCH(ATALI[[#This Row],[ID NOTA]],[6]!NOTA[ID],0)))</f>
        <v/>
      </c>
      <c r="H100" s="3" t="str">
        <f>IF(ATALI[[#This Row],[ID NOTA]]="","",INDEX([6]!NOTA[TGL.NOTA],MATCH(ATALI[[#This Row],[ID NOTA]],[6]!NOTA[ID],0)))</f>
        <v/>
      </c>
      <c r="I100" s="4" t="str">
        <f>IF(ATALI[[#This Row],[ID NOTA]]="","",INDEX([6]!NOTA[NO.NOTA],MATCH(ATALI[[#This Row],[ID NOTA]],[6]!NOTA[ID],0)))</f>
        <v/>
      </c>
      <c r="J100" s="4" t="s">
        <v>255</v>
      </c>
      <c r="K100" s="6" t="str">
        <f ca="1">IF(ATALI[[#This Row],[//]]="","",IF(INDEX([6]!NOTA[C],ATALI[[#This Row],[//]]-2)="","",INDEX([6]!NOTA[C],ATALI[[#This Row],[//]]-2)))</f>
        <v/>
      </c>
      <c r="L100" s="6">
        <f ca="1">IF(ATALI[[#This Row],[//]]="","",INDEX([6]!NOTA[QTY],ATALI[[#This Row],[//]]-2))</f>
        <v>60</v>
      </c>
      <c r="M100" s="6" t="str">
        <f ca="1">IF(ATALI[[#This Row],[//]]="","",INDEX([6]!NOTA[STN],ATALI[[#This Row],[//]]-2))</f>
        <v>DZ</v>
      </c>
      <c r="N100" s="5">
        <f ca="1">IF(ATALI[[#This Row],[//]]="","",INDEX([6]!NOTA[HARGA SATUAN],ATALI[[#This Row],[//]]-2))</f>
        <v>12600</v>
      </c>
      <c r="O100" s="8">
        <f ca="1">IF(ATALI[[#This Row],[//]]="","",INDEX([6]!NOTA[DISC 1],ATALI[[#This Row],[//]]-2))</f>
        <v>0.1</v>
      </c>
      <c r="P100" s="8">
        <f ca="1">IF(ATALI[[#This Row],[//]]="","",INDEX([6]!NOTA[DISC 2],ATALI[[#This Row],[//]]-2))</f>
        <v>0.05</v>
      </c>
      <c r="Q100" s="5">
        <f ca="1">IF(ATALI[[#This Row],[//]]="","",INDEX([6]!NOTA[TOTAL],ATALI[[#This Row],[//]]-2))</f>
        <v>646380</v>
      </c>
      <c r="R10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646380</v>
      </c>
      <c r="S10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13885200</v>
      </c>
      <c r="T100" s="21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00" s="4" t="str">
        <f ca="1">IF(ATALI[[#This Row],[//]]="","",INDEX([6]!NOTA[NAMA BARANG],ATALI[[#This Row],[//]]-2))</f>
        <v>BALLPEN BP-338 VOCUS (BLACK) JK</v>
      </c>
      <c r="V100" s="4" t="str">
        <f ca="1">LOWER(SUBSTITUTE(SUBSTITUTE(SUBSTITUTE(SUBSTITUTE(SUBSTITUTE(SUBSTITUTE(SUBSTITUTE(ATALI[[#This Row],[N.B.nota]]," ",""),"-",""),"(",""),")",""),".",""),",",""),"/",""))</f>
        <v>ballpenbp338vocusblackjk</v>
      </c>
      <c r="W100" s="4" t="s">
        <v>137</v>
      </c>
      <c r="X100" s="4" t="str">
        <f ca="1">IF(ATALI[[#This Row],[N.B.nota]]="","",ADDRESS(ROW(ATALI[QB]),COLUMN(ATALI[QB]))&amp;":"&amp;ADDRESS(ROW(),COLUMN(ATALI[QB])))</f>
        <v>$D$3:$D$100</v>
      </c>
      <c r="Y100" s="22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19"/>
      <c r="B101" s="6" t="str">
        <f>IF(ATALI[[#This Row],[N_ID]]="","",INDEX(Table1[ID],MATCH(ATALI[[#This Row],[N_ID]],Table1[N_ID],0)))</f>
        <v/>
      </c>
      <c r="C101" s="6" t="str">
        <f>IF(ATALI[[#This Row],[ID NOTA]]="","",HYPERLINK("[NOTA_.xlsx]NOTA!e"&amp;INDEX([6]!PAJAK[//],MATCH(ATALI[[#This Row],[ID NOTA]],[6]!PAJAK[ID],0)),"&gt;") )</f>
        <v/>
      </c>
      <c r="D101" s="6" t="str">
        <f>IF(ATALI[[#This Row],[ID NOTA]]="","",INDEX(Table1[QB],MATCH(ATALI[[#This Row],[ID NOTA]],Table1[ID],0)))</f>
        <v/>
      </c>
      <c r="E1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1" s="6"/>
      <c r="G101" s="3" t="str">
        <f>IF(ATALI[[#This Row],[ID NOTA]]="","",INDEX([6]!NOTA[TGL_H],MATCH(ATALI[[#This Row],[ID NOTA]],[6]!NOTA[ID],0)))</f>
        <v/>
      </c>
      <c r="H101" s="3" t="str">
        <f>IF(ATALI[[#This Row],[ID NOTA]]="","",INDEX([6]!NOTA[TGL.NOTA],MATCH(ATALI[[#This Row],[ID NOTA]],[6]!NOTA[ID],0)))</f>
        <v/>
      </c>
      <c r="I101" s="4" t="str">
        <f>IF(ATALI[[#This Row],[ID NOTA]]="","",INDEX([6]!NOTA[NO.NOTA],MATCH(ATALI[[#This Row],[ID NOTA]],[6]!NOTA[ID],0)))</f>
        <v/>
      </c>
      <c r="J101" s="4" t="s">
        <v>136</v>
      </c>
      <c r="K101" s="6" t="str">
        <f ca="1">IF(ATALI[[#This Row],[//]]="","",IF(INDEX([6]!NOTA[C],ATALI[[#This Row],[//]]-2)="","",INDEX([6]!NOTA[C],ATALI[[#This Row],[//]]-2)))</f>
        <v/>
      </c>
      <c r="L101" s="6" t="str">
        <f ca="1">IF(ATALI[[#This Row],[//]]="","",INDEX([6]!NOTA[QTY],ATALI[[#This Row],[//]]-2))</f>
        <v/>
      </c>
      <c r="M101" s="6" t="str">
        <f ca="1">IF(ATALI[[#This Row],[//]]="","",INDEX([6]!NOTA[STN],ATALI[[#This Row],[//]]-2))</f>
        <v/>
      </c>
      <c r="N101" s="5" t="str">
        <f ca="1">IF(ATALI[[#This Row],[//]]="","",INDEX([6]!NOTA[HARGA SATUAN],ATALI[[#This Row],[//]]-2))</f>
        <v/>
      </c>
      <c r="O101" s="8" t="str">
        <f ca="1">IF(ATALI[[#This Row],[//]]="","",INDEX([6]!NOTA[DISC 1],ATALI[[#This Row],[//]]-2))</f>
        <v/>
      </c>
      <c r="P101" s="8" t="str">
        <f ca="1">IF(ATALI[[#This Row],[//]]="","",INDEX([6]!NOTA[DISC 2],ATALI[[#This Row],[//]]-2))</f>
        <v/>
      </c>
      <c r="Q101" s="5" t="str">
        <f ca="1">IF(ATALI[[#This Row],[//]]="","",INDEX([6]!NOTA[TOTAL],ATALI[[#This Row],[//]]-2))</f>
        <v/>
      </c>
      <c r="R1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4" t="str">
        <f ca="1">IF(ATALI[[#This Row],[//]]="","",INDEX([6]!NOTA[NAMA BARANG],ATALI[[#This Row],[//]]-2))</f>
        <v/>
      </c>
      <c r="V101" s="4" t="str">
        <f ca="1">LOWER(SUBSTITUTE(SUBSTITUTE(SUBSTITUTE(SUBSTITUTE(SUBSTITUTE(SUBSTITUTE(SUBSTITUTE(ATALI[[#This Row],[N.B.nota]]," ",""),"-",""),"(",""),")",""),".",""),",",""),"/",""))</f>
        <v/>
      </c>
      <c r="W101" s="4" t="s">
        <v>136</v>
      </c>
      <c r="X101" s="4" t="str">
        <f ca="1">IF(ATALI[[#This Row],[N.B.nota]]="","",ADDRESS(ROW(ATALI[QB]),COLUMN(ATALI[QB]))&amp;":"&amp;ADDRESS(ROW(),COLUMN(ATALI[QB])))</f>
        <v/>
      </c>
      <c r="Y101" s="22" t="str">
        <f ca="1">IF(ATALI[[#This Row],[//]]="","",HYPERLINK("[../DB.xlsx]DB!e"&amp;MATCH(ATALI[[#This Row],[concat]],[4]!db[NB NOTA_C],0)+1,"&gt;"))</f>
        <v/>
      </c>
    </row>
    <row r="102" spans="1:25" x14ac:dyDescent="0.25">
      <c r="A102" s="4" t="s">
        <v>105</v>
      </c>
      <c r="B102" s="6">
        <f ca="1">IF(ATALI[[#This Row],[N_ID]]="","",INDEX(Table1[ID],MATCH(ATALI[[#This Row],[N_ID]],Table1[N_ID],0)))</f>
        <v>153</v>
      </c>
      <c r="C102" s="6" t="str">
        <f ca="1">IF(ATALI[[#This Row],[ID NOTA]]="","",HYPERLINK("[NOTA_.xlsx]NOTA!e"&amp;INDEX([6]!PAJAK[//],MATCH(ATALI[[#This Row],[ID NOTA]],[6]!PAJAK[ID],0)),"&gt;") )</f>
        <v>&gt;</v>
      </c>
      <c r="D102" s="6">
        <f ca="1">IF(ATALI[[#This Row],[ID NOTA]]="","",INDEX(Table1[QB],MATCH(ATALI[[#This Row],[ID NOTA]],Table1[ID],0)))</f>
        <v>4</v>
      </c>
      <c r="E1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784</v>
      </c>
      <c r="F102" s="6"/>
      <c r="G102" s="3">
        <f ca="1">IF(ATALI[[#This Row],[ID NOTA]]="","",INDEX([6]!NOTA[TGL_H],MATCH(ATALI[[#This Row],[ID NOTA]],[6]!NOTA[ID],0)))</f>
        <v>44768</v>
      </c>
      <c r="H102" s="3">
        <f ca="1">IF(ATALI[[#This Row],[ID NOTA]]="","",INDEX([6]!NOTA[TGL.NOTA],MATCH(ATALI[[#This Row],[ID NOTA]],[6]!NOTA[ID],0)))</f>
        <v>44761</v>
      </c>
      <c r="I102" s="4" t="str">
        <f ca="1">IF(ATALI[[#This Row],[ID NOTA]]="","",INDEX([6]!NOTA[NO.NOTA],MATCH(ATALI[[#This Row],[ID NOTA]],[6]!NOTA[ID],0)))</f>
        <v>SA220710405</v>
      </c>
      <c r="J102" s="4" t="s">
        <v>308</v>
      </c>
      <c r="K102" s="6">
        <f ca="1">IF(ATALI[[#This Row],[//]]="","",IF(INDEX([6]!NOTA[C],ATALI[[#This Row],[//]]-2)="","",INDEX([6]!NOTA[C],ATALI[[#This Row],[//]]-2)))</f>
        <v>3</v>
      </c>
      <c r="L102" s="6">
        <f ca="1">IF(ATALI[[#This Row],[//]]="","",INDEX([6]!NOTA[QTY],ATALI[[#This Row],[//]]-2))</f>
        <v>864</v>
      </c>
      <c r="M102" s="6" t="str">
        <f ca="1">IF(ATALI[[#This Row],[//]]="","",INDEX([6]!NOTA[STN],ATALI[[#This Row],[//]]-2))</f>
        <v>PCS</v>
      </c>
      <c r="N102" s="5">
        <f ca="1">IF(ATALI[[#This Row],[//]]="","",INDEX([6]!NOTA[HARGA SATUAN],ATALI[[#This Row],[//]]-2))</f>
        <v>4800</v>
      </c>
      <c r="O102" s="8">
        <f ca="1">IF(ATALI[[#This Row],[//]]="","",INDEX([6]!NOTA[DISC 1],ATALI[[#This Row],[//]]-2))</f>
        <v>0.125</v>
      </c>
      <c r="P102" s="8">
        <f ca="1">IF(ATALI[[#This Row],[//]]="","",INDEX([6]!NOTA[DISC 2],ATALI[[#This Row],[//]]-2))</f>
        <v>0.05</v>
      </c>
      <c r="Q102" s="5">
        <f ca="1">IF(ATALI[[#This Row],[//]]="","",INDEX([6]!NOTA[TOTAL],ATALI[[#This Row],[//]]-2))</f>
        <v>3447360</v>
      </c>
      <c r="R1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4" t="str">
        <f ca="1">IF(ATALI[[#This Row],[//]]="","",INDEX([6]!NOTA[NAMA BARANG],ATALI[[#This Row],[//]]-2))</f>
        <v>PENCIL CASE PC-0719TV-33A/F (TRAVEL) JK</v>
      </c>
      <c r="V102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02" s="4" t="s">
        <v>137</v>
      </c>
      <c r="X102" s="4" t="str">
        <f ca="1">IF(ATALI[[#This Row],[N.B.nota]]="","",ADDRESS(ROW(ATALI[QB]),COLUMN(ATALI[QB]))&amp;":"&amp;ADDRESS(ROW(),COLUMN(ATALI[QB])))</f>
        <v>$D$3:$D$102</v>
      </c>
      <c r="Y102" s="14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NOTA]]="","",HYPERLINK("[NOTA_.xlsx]NOTA!e"&amp;INDEX([6]!PAJAK[//],MATCH(ATALI[[#This Row],[ID NOTA]],[6]!PAJAK[ID],0)),"&gt;") )</f>
        <v/>
      </c>
      <c r="D103" s="6" t="str">
        <f>IF(ATALI[[#This Row],[ID NOTA]]="","",INDEX(Table1[QB],MATCH(ATALI[[#This Row],[ID NOTA]],Table1[ID],0)))</f>
        <v/>
      </c>
      <c r="E1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785</v>
      </c>
      <c r="F103" s="6"/>
      <c r="G103" s="3" t="str">
        <f>IF(ATALI[[#This Row],[ID NOTA]]="","",INDEX([6]!NOTA[TGL_H],MATCH(ATALI[[#This Row],[ID NOTA]],[6]!NOTA[ID],0)))</f>
        <v/>
      </c>
      <c r="H103" s="3" t="str">
        <f>IF(ATALI[[#This Row],[ID NOTA]]="","",INDEX([6]!NOTA[TGL.NOTA],MATCH(ATALI[[#This Row],[ID NOTA]],[6]!NOTA[ID],0)))</f>
        <v/>
      </c>
      <c r="I103" s="4" t="str">
        <f>IF(ATALI[[#This Row],[ID NOTA]]="","",INDEX([6]!NOTA[NO.NOTA],MATCH(ATALI[[#This Row],[ID NOTA]],[6]!NOTA[ID],0)))</f>
        <v/>
      </c>
      <c r="J103" s="4" t="s">
        <v>309</v>
      </c>
      <c r="K103" s="6" t="str">
        <f ca="1">IF(ATALI[[#This Row],[//]]="","",IF(INDEX([6]!NOTA[C],ATALI[[#This Row],[//]]-2)="","",INDEX([6]!NOTA[C],ATALI[[#This Row],[//]]-2)))</f>
        <v/>
      </c>
      <c r="L103" s="6">
        <f ca="1">IF(ATALI[[#This Row],[//]]="","",INDEX([6]!NOTA[QTY],ATALI[[#This Row],[//]]-2))</f>
        <v>144</v>
      </c>
      <c r="M103" s="6" t="str">
        <f ca="1">IF(ATALI[[#This Row],[//]]="","",INDEX([6]!NOTA[STN],ATALI[[#This Row],[//]]-2))</f>
        <v>PCS</v>
      </c>
      <c r="N103" s="5">
        <f ca="1">IF(ATALI[[#This Row],[//]]="","",INDEX([6]!NOTA[HARGA SATUAN],ATALI[[#This Row],[//]]-2))</f>
        <v>4800</v>
      </c>
      <c r="O103" s="8">
        <f ca="1">IF(ATALI[[#This Row],[//]]="","",INDEX([6]!NOTA[DISC 1],ATALI[[#This Row],[//]]-2))</f>
        <v>0.125</v>
      </c>
      <c r="P103" s="8">
        <f ca="1">IF(ATALI[[#This Row],[//]]="","",INDEX([6]!NOTA[DISC 2],ATALI[[#This Row],[//]]-2))</f>
        <v>0.05</v>
      </c>
      <c r="Q103" s="5">
        <f ca="1">IF(ATALI[[#This Row],[//]]="","",INDEX([6]!NOTA[TOTAL],ATALI[[#This Row],[//]]-2))</f>
        <v>574560</v>
      </c>
      <c r="R1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4" t="str">
        <f ca="1">IF(ATALI[[#This Row],[//]]="","",INDEX([6]!NOTA[NAMA BARANG],ATALI[[#This Row],[//]]-2))</f>
        <v>PENCIL CASE PC-0719PL-32 (BLUE) JK</v>
      </c>
      <c r="V103" s="4" t="str">
        <f ca="1">LOWER(SUBSTITUTE(SUBSTITUTE(SUBSTITUTE(SUBSTITUTE(SUBSTITUTE(SUBSTITUTE(SUBSTITUTE(ATALI[[#This Row],[N.B.nota]]," ",""),"-",""),"(",""),")",""),".",""),",",""),"/",""))</f>
        <v>pencilcasepc0719pl32bluejk</v>
      </c>
      <c r="W103" s="4" t="s">
        <v>137</v>
      </c>
      <c r="X103" s="4" t="str">
        <f ca="1">IF(ATALI[[#This Row],[N.B.nota]]="","",ADDRESS(ROW(ATALI[QB]),COLUMN(ATALI[QB]))&amp;":"&amp;ADDRESS(ROW(),COLUMN(ATALI[QB])))</f>
        <v>$D$3:$D$103</v>
      </c>
      <c r="Y103" s="14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NOTA]]="","",HYPERLINK("[NOTA_.xlsx]NOTA!e"&amp;INDEX([6]!PAJAK[//],MATCH(ATALI[[#This Row],[ID NOTA]],[6]!PAJAK[ID],0)),"&gt;") )</f>
        <v/>
      </c>
      <c r="D104" s="6" t="str">
        <f>IF(ATALI[[#This Row],[ID NOTA]]="","",INDEX(Table1[QB],MATCH(ATALI[[#This Row],[ID NOTA]],Table1[ID],0)))</f>
        <v/>
      </c>
      <c r="E1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786</v>
      </c>
      <c r="F104" s="6"/>
      <c r="G104" s="3" t="str">
        <f>IF(ATALI[[#This Row],[ID NOTA]]="","",INDEX([6]!NOTA[TGL_H],MATCH(ATALI[[#This Row],[ID NOTA]],[6]!NOTA[ID],0)))</f>
        <v/>
      </c>
      <c r="H104" s="3" t="str">
        <f>IF(ATALI[[#This Row],[ID NOTA]]="","",INDEX([6]!NOTA[TGL.NOTA],MATCH(ATALI[[#This Row],[ID NOTA]],[6]!NOTA[ID],0)))</f>
        <v/>
      </c>
      <c r="I104" s="4" t="str">
        <f>IF(ATALI[[#This Row],[ID NOTA]]="","",INDEX([6]!NOTA[NO.NOTA],MATCH(ATALI[[#This Row],[ID NOTA]],[6]!NOTA[ID],0)))</f>
        <v/>
      </c>
      <c r="J104" s="4" t="s">
        <v>310</v>
      </c>
      <c r="K104" s="6" t="str">
        <f ca="1">IF(ATALI[[#This Row],[//]]="","",IF(INDEX([6]!NOTA[C],ATALI[[#This Row],[//]]-2)="","",INDEX([6]!NOTA[C],ATALI[[#This Row],[//]]-2)))</f>
        <v/>
      </c>
      <c r="L104" s="6">
        <f ca="1">IF(ATALI[[#This Row],[//]]="","",INDEX([6]!NOTA[QTY],ATALI[[#This Row],[//]]-2))</f>
        <v>216</v>
      </c>
      <c r="M104" s="6" t="str">
        <f ca="1">IF(ATALI[[#This Row],[//]]="","",INDEX([6]!NOTA[STN],ATALI[[#This Row],[//]]-2))</f>
        <v>PCS</v>
      </c>
      <c r="N104" s="5">
        <f ca="1">IF(ATALI[[#This Row],[//]]="","",INDEX([6]!NOTA[HARGA SATUAN],ATALI[[#This Row],[//]]-2))</f>
        <v>4800</v>
      </c>
      <c r="O104" s="8">
        <f ca="1">IF(ATALI[[#This Row],[//]]="","",INDEX([6]!NOTA[DISC 1],ATALI[[#This Row],[//]]-2))</f>
        <v>0.125</v>
      </c>
      <c r="P104" s="8">
        <f ca="1">IF(ATALI[[#This Row],[//]]="","",INDEX([6]!NOTA[DISC 2],ATALI[[#This Row],[//]]-2))</f>
        <v>0.05</v>
      </c>
      <c r="Q104" s="5">
        <f ca="1">IF(ATALI[[#This Row],[//]]="","",INDEX([6]!NOTA[TOTAL],ATALI[[#This Row],[//]]-2))</f>
        <v>861840</v>
      </c>
      <c r="R10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4" t="str">
        <f ca="1">IF(ATALI[[#This Row],[//]]="","",INDEX([6]!NOTA[NAMA BARANG],ATALI[[#This Row],[//]]-2))</f>
        <v>PENCIL CASE PC-0719PL-32 (GREEN) JK</v>
      </c>
      <c r="V104" s="4" t="str">
        <f ca="1">LOWER(SUBSTITUTE(SUBSTITUTE(SUBSTITUTE(SUBSTITUTE(SUBSTITUTE(SUBSTITUTE(SUBSTITUTE(ATALI[[#This Row],[N.B.nota]]," ",""),"-",""),"(",""),")",""),".",""),",",""),"/",""))</f>
        <v>pencilcasepc0719pl32greenjk</v>
      </c>
      <c r="W104" s="4" t="s">
        <v>137</v>
      </c>
      <c r="X104" s="4" t="str">
        <f ca="1">IF(ATALI[[#This Row],[N.B.nota]]="","",ADDRESS(ROW(ATALI[QB]),COLUMN(ATALI[QB]))&amp;":"&amp;ADDRESS(ROW(),COLUMN(ATALI[QB])))</f>
        <v>$D$3:$D$104</v>
      </c>
      <c r="Y104" s="14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6" t="str">
        <f>IF(ATALI[[#This Row],[N_ID]]="","",INDEX(Table1[ID],MATCH(ATALI[[#This Row],[N_ID]],Table1[N_ID],0)))</f>
        <v/>
      </c>
      <c r="C105" s="6" t="str">
        <f>IF(ATALI[[#This Row],[ID NOTA]]="","",HYPERLINK("[NOTA_.xlsx]NOTA!e"&amp;INDEX([6]!PAJAK[//],MATCH(ATALI[[#This Row],[ID NOTA]],[6]!PAJAK[ID],0)),"&gt;") )</f>
        <v/>
      </c>
      <c r="D105" s="6" t="str">
        <f>IF(ATALI[[#This Row],[ID NOTA]]="","",INDEX(Table1[QB],MATCH(ATALI[[#This Row],[ID NOTA]],Table1[ID],0)))</f>
        <v/>
      </c>
      <c r="E1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787</v>
      </c>
      <c r="F105" s="6"/>
      <c r="G105" s="3" t="str">
        <f>IF(ATALI[[#This Row],[ID NOTA]]="","",INDEX([6]!NOTA[TGL_H],MATCH(ATALI[[#This Row],[ID NOTA]],[6]!NOTA[ID],0)))</f>
        <v/>
      </c>
      <c r="H105" s="3" t="str">
        <f>IF(ATALI[[#This Row],[ID NOTA]]="","",INDEX([6]!NOTA[TGL.NOTA],MATCH(ATALI[[#This Row],[ID NOTA]],[6]!NOTA[ID],0)))</f>
        <v/>
      </c>
      <c r="I105" s="4" t="str">
        <f>IF(ATALI[[#This Row],[ID NOTA]]="","",INDEX([6]!NOTA[NO.NOTA],MATCH(ATALI[[#This Row],[ID NOTA]],[6]!NOTA[ID],0)))</f>
        <v/>
      </c>
      <c r="J105" s="4" t="s">
        <v>311</v>
      </c>
      <c r="K105" s="6" t="str">
        <f ca="1">IF(ATALI[[#This Row],[//]]="","",IF(INDEX([6]!NOTA[C],ATALI[[#This Row],[//]]-2)="","",INDEX([6]!NOTA[C],ATALI[[#This Row],[//]]-2)))</f>
        <v/>
      </c>
      <c r="L105" s="6">
        <f ca="1">IF(ATALI[[#This Row],[//]]="","",INDEX([6]!NOTA[QTY],ATALI[[#This Row],[//]]-2))</f>
        <v>216</v>
      </c>
      <c r="M105" s="6" t="str">
        <f ca="1">IF(ATALI[[#This Row],[//]]="","",INDEX([6]!NOTA[STN],ATALI[[#This Row],[//]]-2))</f>
        <v>PCS</v>
      </c>
      <c r="N105" s="5">
        <f ca="1">IF(ATALI[[#This Row],[//]]="","",INDEX([6]!NOTA[HARGA SATUAN],ATALI[[#This Row],[//]]-2))</f>
        <v>4800</v>
      </c>
      <c r="O105" s="8">
        <f ca="1">IF(ATALI[[#This Row],[//]]="","",INDEX([6]!NOTA[DISC 1],ATALI[[#This Row],[//]]-2))</f>
        <v>0.125</v>
      </c>
      <c r="P105" s="8">
        <f ca="1">IF(ATALI[[#This Row],[//]]="","",INDEX([6]!NOTA[DISC 2],ATALI[[#This Row],[//]]-2))</f>
        <v>0.05</v>
      </c>
      <c r="Q105" s="5">
        <f ca="1">IF(ATALI[[#This Row],[//]]="","",INDEX([6]!NOTA[TOTAL],ATALI[[#This Row],[//]]-2))</f>
        <v>861840</v>
      </c>
      <c r="R10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0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5745600</v>
      </c>
      <c r="T10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4" t="str">
        <f ca="1">IF(ATALI[[#This Row],[//]]="","",INDEX([6]!NOTA[NAMA BARANG],ATALI[[#This Row],[//]]-2))</f>
        <v>PENCIL CASE PC-0719PL-32 (RED) JK</v>
      </c>
      <c r="V105" s="4" t="str">
        <f ca="1">LOWER(SUBSTITUTE(SUBSTITUTE(SUBSTITUTE(SUBSTITUTE(SUBSTITUTE(SUBSTITUTE(SUBSTITUTE(ATALI[[#This Row],[N.B.nota]]," ",""),"-",""),"(",""),")",""),".",""),",",""),"/",""))</f>
        <v>pencilcasepc0719pl32redjk</v>
      </c>
      <c r="W105" s="4" t="s">
        <v>137</v>
      </c>
      <c r="X105" s="4" t="str">
        <f ca="1">IF(ATALI[[#This Row],[N.B.nota]]="","",ADDRESS(ROW(ATALI[QB]),COLUMN(ATALI[QB]))&amp;":"&amp;ADDRESS(ROW(),COLUMN(ATALI[QB])))</f>
        <v>$D$3:$D$105</v>
      </c>
      <c r="Y105" s="14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NOTA]]="","",HYPERLINK("[NOTA_.xlsx]NOTA!e"&amp;INDEX([6]!PAJAK[//],MATCH(ATALI[[#This Row],[ID NOTA]],[6]!PAJAK[ID],0)),"&gt;") )</f>
        <v/>
      </c>
      <c r="D106" s="6" t="str">
        <f>IF(ATALI[[#This Row],[ID NOTA]]="","",INDEX(Table1[QB],MATCH(ATALI[[#This Row],[ID NOTA]],Table1[ID],0)))</f>
        <v/>
      </c>
      <c r="E1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6" s="6"/>
      <c r="G106" s="3" t="str">
        <f>IF(ATALI[[#This Row],[ID NOTA]]="","",INDEX([6]!NOTA[TGL_H],MATCH(ATALI[[#This Row],[ID NOTA]],[6]!NOTA[ID],0)))</f>
        <v/>
      </c>
      <c r="H106" s="3" t="str">
        <f>IF(ATALI[[#This Row],[ID NOTA]]="","",INDEX([6]!NOTA[TGL.NOTA],MATCH(ATALI[[#This Row],[ID NOTA]],[6]!NOTA[ID],0)))</f>
        <v/>
      </c>
      <c r="I106" s="4" t="str">
        <f>IF(ATALI[[#This Row],[ID NOTA]]="","",INDEX([6]!NOTA[NO.NOTA],MATCH(ATALI[[#This Row],[ID NOTA]],[6]!NOTA[ID],0)))</f>
        <v/>
      </c>
      <c r="J106" s="4" t="s">
        <v>136</v>
      </c>
      <c r="K106" s="6" t="str">
        <f ca="1">IF(ATALI[[#This Row],[//]]="","",IF(INDEX([6]!NOTA[C],ATALI[[#This Row],[//]]-2)="","",INDEX([6]!NOTA[C],ATALI[[#This Row],[//]]-2)))</f>
        <v/>
      </c>
      <c r="L106" s="6" t="str">
        <f ca="1">IF(ATALI[[#This Row],[//]]="","",INDEX([6]!NOTA[QTY],ATALI[[#This Row],[//]]-2))</f>
        <v/>
      </c>
      <c r="M106" s="6" t="str">
        <f ca="1">IF(ATALI[[#This Row],[//]]="","",INDEX([6]!NOTA[STN],ATALI[[#This Row],[//]]-2))</f>
        <v/>
      </c>
      <c r="N106" s="5" t="str">
        <f ca="1">IF(ATALI[[#This Row],[//]]="","",INDEX([6]!NOTA[HARGA SATUAN],ATALI[[#This Row],[//]]-2))</f>
        <v/>
      </c>
      <c r="O106" s="8" t="str">
        <f ca="1">IF(ATALI[[#This Row],[//]]="","",INDEX([6]!NOTA[DISC 1],ATALI[[#This Row],[//]]-2))</f>
        <v/>
      </c>
      <c r="P106" s="8" t="str">
        <f ca="1">IF(ATALI[[#This Row],[//]]="","",INDEX([6]!NOTA[DISC 2],ATALI[[#This Row],[//]]-2))</f>
        <v/>
      </c>
      <c r="Q106" s="5" t="str">
        <f ca="1">IF(ATALI[[#This Row],[//]]="","",INDEX([6]!NOTA[TOTAL],ATALI[[#This Row],[//]]-2))</f>
        <v/>
      </c>
      <c r="R1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4" t="str">
        <f ca="1">IF(ATALI[[#This Row],[//]]="","",INDEX([6]!NOTA[NAMA BARANG],ATALI[[#This Row],[//]]-2))</f>
        <v/>
      </c>
      <c r="V106" s="4" t="str">
        <f ca="1">LOWER(SUBSTITUTE(SUBSTITUTE(SUBSTITUTE(SUBSTITUTE(SUBSTITUTE(SUBSTITUTE(SUBSTITUTE(ATALI[[#This Row],[N.B.nota]]," ",""),"-",""),"(",""),")",""),".",""),",",""),"/",""))</f>
        <v/>
      </c>
      <c r="W106" s="4" t="s">
        <v>136</v>
      </c>
      <c r="X106" s="4" t="str">
        <f ca="1">IF(ATALI[[#This Row],[N.B.nota]]="","",ADDRESS(ROW(ATALI[QB]),COLUMN(ATALI[QB]))&amp;":"&amp;ADDRESS(ROW(),COLUMN(ATALI[QB])))</f>
        <v/>
      </c>
      <c r="Y106" s="14" t="str">
        <f ca="1">IF(ATALI[[#This Row],[//]]="","",HYPERLINK("[../DB.xlsx]DB!e"&amp;MATCH(ATALI[[#This Row],[concat]],[4]!db[NB NOTA_C],0)+1,"&gt;"))</f>
        <v/>
      </c>
    </row>
    <row r="107" spans="1:25" x14ac:dyDescent="0.25">
      <c r="A107" s="4" t="s">
        <v>106</v>
      </c>
      <c r="B107" s="6">
        <f ca="1">IF(ATALI[[#This Row],[N_ID]]="","",INDEX(Table1[ID],MATCH(ATALI[[#This Row],[N_ID]],Table1[N_ID],0)))</f>
        <v>150</v>
      </c>
      <c r="C107" s="6" t="str">
        <f ca="1">IF(ATALI[[#This Row],[ID NOTA]]="","",HYPERLINK("[NOTA_.xlsx]NOTA!e"&amp;INDEX([6]!PAJAK[//],MATCH(ATALI[[#This Row],[ID NOTA]],[6]!PAJAK[ID],0)),"&gt;") )</f>
        <v>&gt;</v>
      </c>
      <c r="D107" s="6">
        <f ca="1">IF(ATALI[[#This Row],[ID NOTA]]="","",INDEX(Table1[QB],MATCH(ATALI[[#This Row],[ID NOTA]],Table1[ID],0)))</f>
        <v>11</v>
      </c>
      <c r="E1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757</v>
      </c>
      <c r="F107" s="6"/>
      <c r="G107" s="3">
        <f ca="1">IF(ATALI[[#This Row],[ID NOTA]]="","",INDEX([6]!NOTA[TGL_H],MATCH(ATALI[[#This Row],[ID NOTA]],[6]!NOTA[ID],0)))</f>
        <v>44768</v>
      </c>
      <c r="H107" s="3">
        <f ca="1">IF(ATALI[[#This Row],[ID NOTA]]="","",INDEX([6]!NOTA[TGL.NOTA],MATCH(ATALI[[#This Row],[ID NOTA]],[6]!NOTA[ID],0)))</f>
        <v>44762</v>
      </c>
      <c r="I107" s="4" t="str">
        <f ca="1">IF(ATALI[[#This Row],[ID NOTA]]="","",INDEX([6]!NOTA[NO.NOTA],MATCH(ATALI[[#This Row],[ID NOTA]],[6]!NOTA[ID],0)))</f>
        <v>SA220710451</v>
      </c>
      <c r="J107" s="4" t="s">
        <v>308</v>
      </c>
      <c r="K107" s="6">
        <f ca="1">IF(ATALI[[#This Row],[//]]="","",IF(INDEX([6]!NOTA[C],ATALI[[#This Row],[//]]-2)="","",INDEX([6]!NOTA[C],ATALI[[#This Row],[//]]-2)))</f>
        <v>5</v>
      </c>
      <c r="L107" s="6">
        <f ca="1">IF(ATALI[[#This Row],[//]]="","",INDEX([6]!NOTA[QTY],ATALI[[#This Row],[//]]-2))</f>
        <v>1440</v>
      </c>
      <c r="M107" s="6" t="str">
        <f ca="1">IF(ATALI[[#This Row],[//]]="","",INDEX([6]!NOTA[STN],ATALI[[#This Row],[//]]-2))</f>
        <v>PCS</v>
      </c>
      <c r="N107" s="5">
        <f ca="1">IF(ATALI[[#This Row],[//]]="","",INDEX([6]!NOTA[HARGA SATUAN],ATALI[[#This Row],[//]]-2))</f>
        <v>4800</v>
      </c>
      <c r="O107" s="8">
        <f ca="1">IF(ATALI[[#This Row],[//]]="","",INDEX([6]!NOTA[DISC 1],ATALI[[#This Row],[//]]-2))</f>
        <v>0.125</v>
      </c>
      <c r="P107" s="8">
        <f ca="1">IF(ATALI[[#This Row],[//]]="","",INDEX([6]!NOTA[DISC 2],ATALI[[#This Row],[//]]-2))</f>
        <v>0.05</v>
      </c>
      <c r="Q107" s="5">
        <f ca="1">IF(ATALI[[#This Row],[//]]="","",INDEX([6]!NOTA[TOTAL],ATALI[[#This Row],[//]]-2))</f>
        <v>5745600</v>
      </c>
      <c r="R1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4" t="str">
        <f ca="1">IF(ATALI[[#This Row],[//]]="","",INDEX([6]!NOTA[NAMA BARANG],ATALI[[#This Row],[//]]-2))</f>
        <v>PENCIL CASE PC-0719TV-33A/F (TRAVEL) JK</v>
      </c>
      <c r="V107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07" s="4" t="s">
        <v>137</v>
      </c>
      <c r="X107" s="4" t="str">
        <f ca="1">IF(ATALI[[#This Row],[N.B.nota]]="","",ADDRESS(ROW(ATALI[QB]),COLUMN(ATALI[QB]))&amp;":"&amp;ADDRESS(ROW(),COLUMN(ATALI[QB])))</f>
        <v>$D$3:$D$107</v>
      </c>
      <c r="Y107" s="14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NOTA]]="","",HYPERLINK("[NOTA_.xlsx]NOTA!e"&amp;INDEX([6]!PAJAK[//],MATCH(ATALI[[#This Row],[ID NOTA]],[6]!PAJAK[ID],0)),"&gt;") )</f>
        <v/>
      </c>
      <c r="D108" s="6" t="str">
        <f>IF(ATALI[[#This Row],[ID NOTA]]="","",INDEX(Table1[QB],MATCH(ATALI[[#This Row],[ID NOTA]],Table1[ID],0)))</f>
        <v/>
      </c>
      <c r="E1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758</v>
      </c>
      <c r="F108" s="6"/>
      <c r="G108" s="3" t="str">
        <f>IF(ATALI[[#This Row],[ID NOTA]]="","",INDEX([6]!NOTA[TGL_H],MATCH(ATALI[[#This Row],[ID NOTA]],[6]!NOTA[ID],0)))</f>
        <v/>
      </c>
      <c r="H108" s="3" t="str">
        <f>IF(ATALI[[#This Row],[ID NOTA]]="","",INDEX([6]!NOTA[TGL.NOTA],MATCH(ATALI[[#This Row],[ID NOTA]],[6]!NOTA[ID],0)))</f>
        <v/>
      </c>
      <c r="I108" s="4" t="str">
        <f>IF(ATALI[[#This Row],[ID NOTA]]="","",INDEX([6]!NOTA[NO.NOTA],MATCH(ATALI[[#This Row],[ID NOTA]],[6]!NOTA[ID],0)))</f>
        <v/>
      </c>
      <c r="J108" s="4" t="s">
        <v>312</v>
      </c>
      <c r="K108" s="6">
        <f ca="1">IF(ATALI[[#This Row],[//]]="","",IF(INDEX([6]!NOTA[C],ATALI[[#This Row],[//]]-2)="","",INDEX([6]!NOTA[C],ATALI[[#This Row],[//]]-2)))</f>
        <v>2</v>
      </c>
      <c r="L108" s="6">
        <f ca="1">IF(ATALI[[#This Row],[//]]="","",INDEX([6]!NOTA[QTY],ATALI[[#This Row],[//]]-2))</f>
        <v>20</v>
      </c>
      <c r="M108" s="6" t="str">
        <f ca="1">IF(ATALI[[#This Row],[//]]="","",INDEX([6]!NOTA[STN],ATALI[[#This Row],[//]]-2))</f>
        <v>PAK</v>
      </c>
      <c r="N108" s="5">
        <f ca="1">IF(ATALI[[#This Row],[//]]="","",INDEX([6]!NOTA[HARGA SATUAN],ATALI[[#This Row],[//]]-2))</f>
        <v>114000</v>
      </c>
      <c r="O108" s="8">
        <f ca="1">IF(ATALI[[#This Row],[//]]="","",INDEX([6]!NOTA[DISC 1],ATALI[[#This Row],[//]]-2))</f>
        <v>0.125</v>
      </c>
      <c r="P108" s="8">
        <f ca="1">IF(ATALI[[#This Row],[//]]="","",INDEX([6]!NOTA[DISC 2],ATALI[[#This Row],[//]]-2))</f>
        <v>0.05</v>
      </c>
      <c r="Q108" s="5">
        <f ca="1">IF(ATALI[[#This Row],[//]]="","",INDEX([6]!NOTA[TOTAL],ATALI[[#This Row],[//]]-2))</f>
        <v>1895250</v>
      </c>
      <c r="R1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4" t="str">
        <f ca="1">IF(ATALI[[#This Row],[//]]="","",INDEX([6]!NOTA[NAMA BARANG],ATALI[[#This Row],[//]]-2))</f>
        <v>LAMINATING FILM LF100-2234 (F4) JK</v>
      </c>
      <c r="V108" s="4" t="str">
        <f ca="1">LOWER(SUBSTITUTE(SUBSTITUTE(SUBSTITUTE(SUBSTITUTE(SUBSTITUTE(SUBSTITUTE(SUBSTITUTE(ATALI[[#This Row],[N.B.nota]]," ",""),"-",""),"(",""),")",""),".",""),",",""),"/",""))</f>
        <v>laminatingfilmlf1002234f4jk</v>
      </c>
      <c r="W108" s="4" t="s">
        <v>137</v>
      </c>
      <c r="X108" s="4" t="str">
        <f ca="1">IF(ATALI[[#This Row],[N.B.nota]]="","",ADDRESS(ROW(ATALI[QB]),COLUMN(ATALI[QB]))&amp;":"&amp;ADDRESS(ROW(),COLUMN(ATALI[QB])))</f>
        <v>$D$3:$D$108</v>
      </c>
      <c r="Y108" s="14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NOTA]]="","",HYPERLINK("[NOTA_.xlsx]NOTA!e"&amp;INDEX([6]!PAJAK[//],MATCH(ATALI[[#This Row],[ID NOTA]],[6]!PAJAK[ID],0)),"&gt;") )</f>
        <v/>
      </c>
      <c r="D109" s="6" t="str">
        <f>IF(ATALI[[#This Row],[ID NOTA]]="","",INDEX(Table1[QB],MATCH(ATALI[[#This Row],[ID NOTA]],Table1[ID],0)))</f>
        <v/>
      </c>
      <c r="E1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759</v>
      </c>
      <c r="F109" s="6"/>
      <c r="G109" s="3" t="str">
        <f>IF(ATALI[[#This Row],[ID NOTA]]="","",INDEX([6]!NOTA[TGL_H],MATCH(ATALI[[#This Row],[ID NOTA]],[6]!NOTA[ID],0)))</f>
        <v/>
      </c>
      <c r="H109" s="3" t="str">
        <f>IF(ATALI[[#This Row],[ID NOTA]]="","",INDEX([6]!NOTA[TGL.NOTA],MATCH(ATALI[[#This Row],[ID NOTA]],[6]!NOTA[ID],0)))</f>
        <v/>
      </c>
      <c r="I109" s="4" t="str">
        <f>IF(ATALI[[#This Row],[ID NOTA]]="","",INDEX([6]!NOTA[NO.NOTA],MATCH(ATALI[[#This Row],[ID NOTA]],[6]!NOTA[ID],0)))</f>
        <v/>
      </c>
      <c r="J109" s="4" t="s">
        <v>274</v>
      </c>
      <c r="K109" s="6">
        <f ca="1">IF(ATALI[[#This Row],[//]]="","",IF(INDEX([6]!NOTA[C],ATALI[[#This Row],[//]]-2)="","",INDEX([6]!NOTA[C],ATALI[[#This Row],[//]]-2)))</f>
        <v>1</v>
      </c>
      <c r="L109" s="6">
        <f ca="1">IF(ATALI[[#This Row],[//]]="","",INDEX([6]!NOTA[QTY],ATALI[[#This Row],[//]]-2))</f>
        <v>144</v>
      </c>
      <c r="M109" s="6" t="str">
        <f ca="1">IF(ATALI[[#This Row],[//]]="","",INDEX([6]!NOTA[STN],ATALI[[#This Row],[//]]-2))</f>
        <v>SET</v>
      </c>
      <c r="N109" s="5">
        <f ca="1">IF(ATALI[[#This Row],[//]]="","",INDEX([6]!NOTA[HARGA SATUAN],ATALI[[#This Row],[//]]-2))</f>
        <v>8400</v>
      </c>
      <c r="O109" s="8">
        <f ca="1">IF(ATALI[[#This Row],[//]]="","",INDEX([6]!NOTA[DISC 1],ATALI[[#This Row],[//]]-2))</f>
        <v>0.125</v>
      </c>
      <c r="P109" s="8">
        <f ca="1">IF(ATALI[[#This Row],[//]]="","",INDEX([6]!NOTA[DISC 2],ATALI[[#This Row],[//]]-2))</f>
        <v>0.05</v>
      </c>
      <c r="Q109" s="5">
        <f ca="1">IF(ATALI[[#This Row],[//]]="","",INDEX([6]!NOTA[TOTAL],ATALI[[#This Row],[//]]-2))</f>
        <v>1005480</v>
      </c>
      <c r="R1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4" t="str">
        <f ca="1">IF(ATALI[[#This Row],[//]]="","",INDEX([6]!NOTA[NAMA BARANG],ATALI[[#This Row],[//]]-2))</f>
        <v>COLOR PENCIL CP-103 JK</v>
      </c>
      <c r="V109" s="4" t="str">
        <f ca="1">LOWER(SUBSTITUTE(SUBSTITUTE(SUBSTITUTE(SUBSTITUTE(SUBSTITUTE(SUBSTITUTE(SUBSTITUTE(ATALI[[#This Row],[N.B.nota]]," ",""),"-",""),"(",""),")",""),".",""),",",""),"/",""))</f>
        <v>colorpencilcp103jk</v>
      </c>
      <c r="W109" s="4" t="s">
        <v>137</v>
      </c>
      <c r="X109" s="4" t="str">
        <f ca="1">IF(ATALI[[#This Row],[N.B.nota]]="","",ADDRESS(ROW(ATALI[QB]),COLUMN(ATALI[QB]))&amp;":"&amp;ADDRESS(ROW(),COLUMN(ATALI[QB])))</f>
        <v>$D$3:$D$109</v>
      </c>
      <c r="Y109" s="14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NOTA]]="","",HYPERLINK("[NOTA_.xlsx]NOTA!e"&amp;INDEX([6]!PAJAK[//],MATCH(ATALI[[#This Row],[ID NOTA]],[6]!PAJAK[ID],0)),"&gt;") )</f>
        <v/>
      </c>
      <c r="D110" s="6" t="str">
        <f>IF(ATALI[[#This Row],[ID NOTA]]="","",INDEX(Table1[QB],MATCH(ATALI[[#This Row],[ID NOTA]],Table1[ID],0)))</f>
        <v/>
      </c>
      <c r="E1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760</v>
      </c>
      <c r="F110" s="6"/>
      <c r="G110" s="3" t="str">
        <f>IF(ATALI[[#This Row],[ID NOTA]]="","",INDEX([6]!NOTA[TGL_H],MATCH(ATALI[[#This Row],[ID NOTA]],[6]!NOTA[ID],0)))</f>
        <v/>
      </c>
      <c r="H110" s="3" t="str">
        <f>IF(ATALI[[#This Row],[ID NOTA]]="","",INDEX([6]!NOTA[TGL.NOTA],MATCH(ATALI[[#This Row],[ID NOTA]],[6]!NOTA[ID],0)))</f>
        <v/>
      </c>
      <c r="I110" s="4" t="str">
        <f>IF(ATALI[[#This Row],[ID NOTA]]="","",INDEX([6]!NOTA[NO.NOTA],MATCH(ATALI[[#This Row],[ID NOTA]],[6]!NOTA[ID],0)))</f>
        <v/>
      </c>
      <c r="J110" s="4" t="s">
        <v>313</v>
      </c>
      <c r="K110" s="6">
        <f ca="1">IF(ATALI[[#This Row],[//]]="","",IF(INDEX([6]!NOTA[C],ATALI[[#This Row],[//]]-2)="","",INDEX([6]!NOTA[C],ATALI[[#This Row],[//]]-2)))</f>
        <v>2</v>
      </c>
      <c r="L110" s="6">
        <f ca="1">IF(ATALI[[#This Row],[//]]="","",INDEX([6]!NOTA[QTY],ATALI[[#This Row],[//]]-2))</f>
        <v>480</v>
      </c>
      <c r="M110" s="6" t="str">
        <f ca="1">IF(ATALI[[#This Row],[//]]="","",INDEX([6]!NOTA[STN],ATALI[[#This Row],[//]]-2))</f>
        <v>SET</v>
      </c>
      <c r="N110" s="5">
        <f ca="1">IF(ATALI[[#This Row],[//]]="","",INDEX([6]!NOTA[HARGA SATUAN],ATALI[[#This Row],[//]]-2))</f>
        <v>8800</v>
      </c>
      <c r="O110" s="8">
        <f ca="1">IF(ATALI[[#This Row],[//]]="","",INDEX([6]!NOTA[DISC 1],ATALI[[#This Row],[//]]-2))</f>
        <v>0.125</v>
      </c>
      <c r="P110" s="8">
        <f ca="1">IF(ATALI[[#This Row],[//]]="","",INDEX([6]!NOTA[DISC 2],ATALI[[#This Row],[//]]-2))</f>
        <v>0.05</v>
      </c>
      <c r="Q110" s="5">
        <f ca="1">IF(ATALI[[#This Row],[//]]="","",INDEX([6]!NOTA[TOTAL],ATALI[[#This Row],[//]]-2))</f>
        <v>3511200</v>
      </c>
      <c r="R1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4" t="str">
        <f ca="1">IF(ATALI[[#This Row],[//]]="","",INDEX([6]!NOTA[NAMA BARANG],ATALI[[#This Row],[//]]-2))</f>
        <v>BRUSH BR-1 JK</v>
      </c>
      <c r="V110" s="4" t="str">
        <f ca="1">LOWER(SUBSTITUTE(SUBSTITUTE(SUBSTITUTE(SUBSTITUTE(SUBSTITUTE(SUBSTITUTE(SUBSTITUTE(ATALI[[#This Row],[N.B.nota]]," ",""),"-",""),"(",""),")",""),".",""),",",""),"/",""))</f>
        <v>brushbr1jk</v>
      </c>
      <c r="W110" s="4" t="s">
        <v>137</v>
      </c>
      <c r="X110" s="4" t="str">
        <f ca="1">IF(ATALI[[#This Row],[N.B.nota]]="","",ADDRESS(ROW(ATALI[QB]),COLUMN(ATALI[QB]))&amp;":"&amp;ADDRESS(ROW(),COLUMN(ATALI[QB])))</f>
        <v>$D$3:$D$110</v>
      </c>
      <c r="Y110" s="14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6" t="str">
        <f>IF(ATALI[[#This Row],[N_ID]]="","",INDEX(Table1[ID],MATCH(ATALI[[#This Row],[N_ID]],Table1[N_ID],0)))</f>
        <v/>
      </c>
      <c r="C111" s="6" t="str">
        <f>IF(ATALI[[#This Row],[ID NOTA]]="","",HYPERLINK("[NOTA_.xlsx]NOTA!e"&amp;INDEX([6]!PAJAK[//],MATCH(ATALI[[#This Row],[ID NOTA]],[6]!PAJAK[ID],0)),"&gt;") )</f>
        <v/>
      </c>
      <c r="D111" s="6" t="str">
        <f>IF(ATALI[[#This Row],[ID NOTA]]="","",INDEX(Table1[QB],MATCH(ATALI[[#This Row],[ID NOTA]],Table1[ID],0)))</f>
        <v/>
      </c>
      <c r="E1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761</v>
      </c>
      <c r="F111" s="6"/>
      <c r="G111" s="3" t="str">
        <f>IF(ATALI[[#This Row],[ID NOTA]]="","",INDEX([6]!NOTA[TGL_H],MATCH(ATALI[[#This Row],[ID NOTA]],[6]!NOTA[ID],0)))</f>
        <v/>
      </c>
      <c r="H111" s="3" t="str">
        <f>IF(ATALI[[#This Row],[ID NOTA]]="","",INDEX([6]!NOTA[TGL.NOTA],MATCH(ATALI[[#This Row],[ID NOTA]],[6]!NOTA[ID],0)))</f>
        <v/>
      </c>
      <c r="I111" s="4" t="str">
        <f>IF(ATALI[[#This Row],[ID NOTA]]="","",INDEX([6]!NOTA[NO.NOTA],MATCH(ATALI[[#This Row],[ID NOTA]],[6]!NOTA[ID],0)))</f>
        <v/>
      </c>
      <c r="J111" s="4" t="s">
        <v>302</v>
      </c>
      <c r="K111" s="6">
        <f ca="1">IF(ATALI[[#This Row],[//]]="","",IF(INDEX([6]!NOTA[C],ATALI[[#This Row],[//]]-2)="","",INDEX([6]!NOTA[C],ATALI[[#This Row],[//]]-2)))</f>
        <v>1</v>
      </c>
      <c r="L111" s="6">
        <f ca="1">IF(ATALI[[#This Row],[//]]="","",INDEX([6]!NOTA[QTY],ATALI[[#This Row],[//]]-2))</f>
        <v>72</v>
      </c>
      <c r="M111" s="6" t="str">
        <f ca="1">IF(ATALI[[#This Row],[//]]="","",INDEX([6]!NOTA[STN],ATALI[[#This Row],[//]]-2))</f>
        <v>PCS</v>
      </c>
      <c r="N111" s="5">
        <f ca="1">IF(ATALI[[#This Row],[//]]="","",INDEX([6]!NOTA[HARGA SATUAN],ATALI[[#This Row],[//]]-2))</f>
        <v>15800</v>
      </c>
      <c r="O111" s="8">
        <f ca="1">IF(ATALI[[#This Row],[//]]="","",INDEX([6]!NOTA[DISC 1],ATALI[[#This Row],[//]]-2))</f>
        <v>0.125</v>
      </c>
      <c r="P111" s="8">
        <f ca="1">IF(ATALI[[#This Row],[//]]="","",INDEX([6]!NOTA[DISC 2],ATALI[[#This Row],[//]]-2))</f>
        <v>0.05</v>
      </c>
      <c r="Q111" s="5">
        <f ca="1">IF(ATALI[[#This Row],[//]]="","",INDEX([6]!NOTA[TOTAL],ATALI[[#This Row],[//]]-2))</f>
        <v>945630</v>
      </c>
      <c r="R11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4" t="str">
        <f ca="1">IF(ATALI[[#This Row],[//]]="","",INDEX([6]!NOTA[NAMA BARANG],ATALI[[#This Row],[//]]-2))</f>
        <v>BINDER A5-TSIM-M416 (IMAGE) JK-U</v>
      </c>
      <c r="V111" s="4" t="str">
        <f ca="1">LOWER(SUBSTITUTE(SUBSTITUTE(SUBSTITUTE(SUBSTITUTE(SUBSTITUTE(SUBSTITUTE(SUBSTITUTE(ATALI[[#This Row],[N.B.nota]]," ",""),"-",""),"(",""),")",""),".",""),",",""),"/",""))</f>
        <v>bindera5tsimm416imagejku</v>
      </c>
      <c r="W111" s="4" t="s">
        <v>137</v>
      </c>
      <c r="X111" s="4" t="str">
        <f ca="1">IF(ATALI[[#This Row],[N.B.nota]]="","",ADDRESS(ROW(ATALI[QB]),COLUMN(ATALI[QB]))&amp;":"&amp;ADDRESS(ROW(),COLUMN(ATALI[QB])))</f>
        <v>$D$3:$D$111</v>
      </c>
      <c r="Y111" s="14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NOTA]]="","",HYPERLINK("[NOTA_.xlsx]NOTA!e"&amp;INDEX([6]!PAJAK[//],MATCH(ATALI[[#This Row],[ID NOTA]],[6]!PAJAK[ID],0)),"&gt;") )</f>
        <v/>
      </c>
      <c r="D112" s="6" t="str">
        <f>IF(ATALI[[#This Row],[ID NOTA]]="","",INDEX(Table1[QB],MATCH(ATALI[[#This Row],[ID NOTA]],Table1[ID],0)))</f>
        <v/>
      </c>
      <c r="E1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762</v>
      </c>
      <c r="F112" s="6"/>
      <c r="G112" s="3" t="str">
        <f>IF(ATALI[[#This Row],[ID NOTA]]="","",INDEX([6]!NOTA[TGL_H],MATCH(ATALI[[#This Row],[ID NOTA]],[6]!NOTA[ID],0)))</f>
        <v/>
      </c>
      <c r="H112" s="3" t="str">
        <f>IF(ATALI[[#This Row],[ID NOTA]]="","",INDEX([6]!NOTA[TGL.NOTA],MATCH(ATALI[[#This Row],[ID NOTA]],[6]!NOTA[ID],0)))</f>
        <v/>
      </c>
      <c r="I112" s="4" t="str">
        <f>IF(ATALI[[#This Row],[ID NOTA]]="","",INDEX([6]!NOTA[NO.NOTA],MATCH(ATALI[[#This Row],[ID NOTA]],[6]!NOTA[ID],0)))</f>
        <v/>
      </c>
      <c r="J112" s="4" t="s">
        <v>290</v>
      </c>
      <c r="K112" s="6">
        <f ca="1">IF(ATALI[[#This Row],[//]]="","",IF(INDEX([6]!NOTA[C],ATALI[[#This Row],[//]]-2)="","",INDEX([6]!NOTA[C],ATALI[[#This Row],[//]]-2)))</f>
        <v>1</v>
      </c>
      <c r="L112" s="6">
        <f ca="1">IF(ATALI[[#This Row],[//]]="","",INDEX([6]!NOTA[QTY],ATALI[[#This Row],[//]]-2))</f>
        <v>72</v>
      </c>
      <c r="M112" s="6" t="str">
        <f ca="1">IF(ATALI[[#This Row],[//]]="","",INDEX([6]!NOTA[STN],ATALI[[#This Row],[//]]-2))</f>
        <v>PCS</v>
      </c>
      <c r="N112" s="5">
        <f ca="1">IF(ATALI[[#This Row],[//]]="","",INDEX([6]!NOTA[HARGA SATUAN],ATALI[[#This Row],[//]]-2))</f>
        <v>15800</v>
      </c>
      <c r="O112" s="8">
        <f ca="1">IF(ATALI[[#This Row],[//]]="","",INDEX([6]!NOTA[DISC 1],ATALI[[#This Row],[//]]-2))</f>
        <v>0.125</v>
      </c>
      <c r="P112" s="8">
        <f ca="1">IF(ATALI[[#This Row],[//]]="","",INDEX([6]!NOTA[DISC 2],ATALI[[#This Row],[//]]-2))</f>
        <v>0.05</v>
      </c>
      <c r="Q112" s="5">
        <f ca="1">IF(ATALI[[#This Row],[//]]="","",INDEX([6]!NOTA[TOTAL],ATALI[[#This Row],[//]]-2))</f>
        <v>945630</v>
      </c>
      <c r="R1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4" t="str">
        <f ca="1">IF(ATALI[[#This Row],[//]]="","",INDEX([6]!NOTA[NAMA BARANG],ATALI[[#This Row],[//]]-2))</f>
        <v>BINDER A5-TSDS-M440 (DISCOVERY) JK-U</v>
      </c>
      <c r="V112" s="4" t="str">
        <f ca="1">LOWER(SUBSTITUTE(SUBSTITUTE(SUBSTITUTE(SUBSTITUTE(SUBSTITUTE(SUBSTITUTE(SUBSTITUTE(ATALI[[#This Row],[N.B.nota]]," ",""),"-",""),"(",""),")",""),".",""),",",""),"/",""))</f>
        <v>bindera5tsdsm440discoveryjku</v>
      </c>
      <c r="W112" s="4" t="s">
        <v>137</v>
      </c>
      <c r="X112" s="4" t="str">
        <f ca="1">IF(ATALI[[#This Row],[N.B.nota]]="","",ADDRESS(ROW(ATALI[QB]),COLUMN(ATALI[QB]))&amp;":"&amp;ADDRESS(ROW(),COLUMN(ATALI[QB])))</f>
        <v>$D$3:$D$112</v>
      </c>
      <c r="Y112" s="14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NOTA]]="","",HYPERLINK("[NOTA_.xlsx]NOTA!e"&amp;INDEX([6]!PAJAK[//],MATCH(ATALI[[#This Row],[ID NOTA]],[6]!PAJAK[ID],0)),"&gt;") )</f>
        <v/>
      </c>
      <c r="D113" s="6" t="str">
        <f>IF(ATALI[[#This Row],[ID NOTA]]="","",INDEX(Table1[QB],MATCH(ATALI[[#This Row],[ID NOTA]],Table1[ID],0)))</f>
        <v/>
      </c>
      <c r="E1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763</v>
      </c>
      <c r="F113" s="6"/>
      <c r="G113" s="3" t="str">
        <f>IF(ATALI[[#This Row],[ID NOTA]]="","",INDEX([6]!NOTA[TGL_H],MATCH(ATALI[[#This Row],[ID NOTA]],[6]!NOTA[ID],0)))</f>
        <v/>
      </c>
      <c r="H113" s="3" t="str">
        <f>IF(ATALI[[#This Row],[ID NOTA]]="","",INDEX([6]!NOTA[TGL.NOTA],MATCH(ATALI[[#This Row],[ID NOTA]],[6]!NOTA[ID],0)))</f>
        <v/>
      </c>
      <c r="I113" s="4" t="str">
        <f>IF(ATALI[[#This Row],[ID NOTA]]="","",INDEX([6]!NOTA[NO.NOTA],MATCH(ATALI[[#This Row],[ID NOTA]],[6]!NOTA[ID],0)))</f>
        <v/>
      </c>
      <c r="J113" s="4" t="s">
        <v>292</v>
      </c>
      <c r="K113" s="6">
        <f ca="1">IF(ATALI[[#This Row],[//]]="","",IF(INDEX([6]!NOTA[C],ATALI[[#This Row],[//]]-2)="","",INDEX([6]!NOTA[C],ATALI[[#This Row],[//]]-2)))</f>
        <v>1</v>
      </c>
      <c r="L113" s="6">
        <f ca="1">IF(ATALI[[#This Row],[//]]="","",INDEX([6]!NOTA[QTY],ATALI[[#This Row],[//]]-2))</f>
        <v>72</v>
      </c>
      <c r="M113" s="6" t="str">
        <f ca="1">IF(ATALI[[#This Row],[//]]="","",INDEX([6]!NOTA[STN],ATALI[[#This Row],[//]]-2))</f>
        <v>PCS</v>
      </c>
      <c r="N113" s="5">
        <f ca="1">IF(ATALI[[#This Row],[//]]="","",INDEX([6]!NOTA[HARGA SATUAN],ATALI[[#This Row],[//]]-2))</f>
        <v>15800</v>
      </c>
      <c r="O113" s="8">
        <f ca="1">IF(ATALI[[#This Row],[//]]="","",INDEX([6]!NOTA[DISC 1],ATALI[[#This Row],[//]]-2))</f>
        <v>0.125</v>
      </c>
      <c r="P113" s="8">
        <f ca="1">IF(ATALI[[#This Row],[//]]="","",INDEX([6]!NOTA[DISC 2],ATALI[[#This Row],[//]]-2))</f>
        <v>0.05</v>
      </c>
      <c r="Q113" s="5">
        <f ca="1">IF(ATALI[[#This Row],[//]]="","",INDEX([6]!NOTA[TOTAL],ATALI[[#This Row],[//]]-2))</f>
        <v>945630</v>
      </c>
      <c r="R1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4" t="str">
        <f ca="1">IF(ATALI[[#This Row],[//]]="","",INDEX([6]!NOTA[NAMA BARANG],ATALI[[#This Row],[//]]-2))</f>
        <v>BINDER A5-TSTP-513 (TEMPORARY) JK-U</v>
      </c>
      <c r="V113" s="4" t="str">
        <f ca="1">LOWER(SUBSTITUTE(SUBSTITUTE(SUBSTITUTE(SUBSTITUTE(SUBSTITUTE(SUBSTITUTE(SUBSTITUTE(ATALI[[#This Row],[N.B.nota]]," ",""),"-",""),"(",""),")",""),".",""),",",""),"/",""))</f>
        <v>bindera5tstp513temporaryjku</v>
      </c>
      <c r="W113" s="4" t="s">
        <v>137</v>
      </c>
      <c r="X113" s="4" t="str">
        <f ca="1">IF(ATALI[[#This Row],[N.B.nota]]="","",ADDRESS(ROW(ATALI[QB]),COLUMN(ATALI[QB]))&amp;":"&amp;ADDRESS(ROW(),COLUMN(ATALI[QB])))</f>
        <v>$D$3:$D$113</v>
      </c>
      <c r="Y113" s="14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NOTA]]="","",HYPERLINK("[NOTA_.xlsx]NOTA!e"&amp;INDEX([6]!PAJAK[//],MATCH(ATALI[[#This Row],[ID NOTA]],[6]!PAJAK[ID],0)),"&gt;") )</f>
        <v/>
      </c>
      <c r="D114" s="6" t="str">
        <f>IF(ATALI[[#This Row],[ID NOTA]]="","",INDEX(Table1[QB],MATCH(ATALI[[#This Row],[ID NOTA]],Table1[ID],0)))</f>
        <v/>
      </c>
      <c r="E1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764</v>
      </c>
      <c r="F114" s="6"/>
      <c r="G114" s="3" t="str">
        <f>IF(ATALI[[#This Row],[ID NOTA]]="","",INDEX([6]!NOTA[TGL_H],MATCH(ATALI[[#This Row],[ID NOTA]],[6]!NOTA[ID],0)))</f>
        <v/>
      </c>
      <c r="H114" s="3" t="str">
        <f>IF(ATALI[[#This Row],[ID NOTA]]="","",INDEX([6]!NOTA[TGL.NOTA],MATCH(ATALI[[#This Row],[ID NOTA]],[6]!NOTA[ID],0)))</f>
        <v/>
      </c>
      <c r="I114" s="4" t="str">
        <f>IF(ATALI[[#This Row],[ID NOTA]]="","",INDEX([6]!NOTA[NO.NOTA],MATCH(ATALI[[#This Row],[ID NOTA]],[6]!NOTA[ID],0)))</f>
        <v/>
      </c>
      <c r="J114" s="4" t="s">
        <v>305</v>
      </c>
      <c r="K114" s="6">
        <f ca="1">IF(ATALI[[#This Row],[//]]="","",IF(INDEX([6]!NOTA[C],ATALI[[#This Row],[//]]-2)="","",INDEX([6]!NOTA[C],ATALI[[#This Row],[//]]-2)))</f>
        <v>1</v>
      </c>
      <c r="L114" s="6">
        <f ca="1">IF(ATALI[[#This Row],[//]]="","",INDEX([6]!NOTA[QTY],ATALI[[#This Row],[//]]-2))</f>
        <v>72</v>
      </c>
      <c r="M114" s="6" t="str">
        <f ca="1">IF(ATALI[[#This Row],[//]]="","",INDEX([6]!NOTA[STN],ATALI[[#This Row],[//]]-2))</f>
        <v>PCS</v>
      </c>
      <c r="N114" s="5">
        <f ca="1">IF(ATALI[[#This Row],[//]]="","",INDEX([6]!NOTA[HARGA SATUAN],ATALI[[#This Row],[//]]-2))</f>
        <v>15800</v>
      </c>
      <c r="O114" s="8">
        <f ca="1">IF(ATALI[[#This Row],[//]]="","",INDEX([6]!NOTA[DISC 1],ATALI[[#This Row],[//]]-2))</f>
        <v>0.125</v>
      </c>
      <c r="P114" s="8">
        <f ca="1">IF(ATALI[[#This Row],[//]]="","",INDEX([6]!NOTA[DISC 2],ATALI[[#This Row],[//]]-2))</f>
        <v>0.05</v>
      </c>
      <c r="Q114" s="5">
        <f ca="1">IF(ATALI[[#This Row],[//]]="","",INDEX([6]!NOTA[TOTAL],ATALI[[#This Row],[//]]-2))</f>
        <v>945630</v>
      </c>
      <c r="R1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4" t="str">
        <f ca="1">IF(ATALI[[#This Row],[//]]="","",INDEX([6]!NOTA[NAMA BARANG],ATALI[[#This Row],[//]]-2))</f>
        <v>BINDER A5-TSBS-M376 (BASIC) JK-U</v>
      </c>
      <c r="V114" s="4" t="str">
        <f ca="1">LOWER(SUBSTITUTE(SUBSTITUTE(SUBSTITUTE(SUBSTITUTE(SUBSTITUTE(SUBSTITUTE(SUBSTITUTE(ATALI[[#This Row],[N.B.nota]]," ",""),"-",""),"(",""),")",""),".",""),",",""),"/",""))</f>
        <v>bindera5tsbsm376basicjku</v>
      </c>
      <c r="W114" s="4" t="s">
        <v>137</v>
      </c>
      <c r="X114" s="4" t="str">
        <f ca="1">IF(ATALI[[#This Row],[N.B.nota]]="","",ADDRESS(ROW(ATALI[QB]),COLUMN(ATALI[QB]))&amp;":"&amp;ADDRESS(ROW(),COLUMN(ATALI[QB])))</f>
        <v>$D$3:$D$114</v>
      </c>
      <c r="Y114" s="14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NOTA]]="","",HYPERLINK("[NOTA_.xlsx]NOTA!e"&amp;INDEX([6]!PAJAK[//],MATCH(ATALI[[#This Row],[ID NOTA]],[6]!PAJAK[ID],0)),"&gt;") )</f>
        <v/>
      </c>
      <c r="D115" s="6" t="str">
        <f>IF(ATALI[[#This Row],[ID NOTA]]="","",INDEX(Table1[QB],MATCH(ATALI[[#This Row],[ID NOTA]],Table1[ID],0)))</f>
        <v/>
      </c>
      <c r="E1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765</v>
      </c>
      <c r="F115" s="6"/>
      <c r="G115" s="3" t="str">
        <f>IF(ATALI[[#This Row],[ID NOTA]]="","",INDEX([6]!NOTA[TGL_H],MATCH(ATALI[[#This Row],[ID NOTA]],[6]!NOTA[ID],0)))</f>
        <v/>
      </c>
      <c r="H115" s="3" t="str">
        <f>IF(ATALI[[#This Row],[ID NOTA]]="","",INDEX([6]!NOTA[TGL.NOTA],MATCH(ATALI[[#This Row],[ID NOTA]],[6]!NOTA[ID],0)))</f>
        <v/>
      </c>
      <c r="I115" s="4" t="str">
        <f>IF(ATALI[[#This Row],[ID NOTA]]="","",INDEX([6]!NOTA[NO.NOTA],MATCH(ATALI[[#This Row],[ID NOTA]],[6]!NOTA[ID],0)))</f>
        <v/>
      </c>
      <c r="J115" s="4" t="s">
        <v>291</v>
      </c>
      <c r="K115" s="6">
        <f ca="1">IF(ATALI[[#This Row],[//]]="","",IF(INDEX([6]!NOTA[C],ATALI[[#This Row],[//]]-2)="","",INDEX([6]!NOTA[C],ATALI[[#This Row],[//]]-2)))</f>
        <v>1</v>
      </c>
      <c r="L115" s="6">
        <f ca="1">IF(ATALI[[#This Row],[//]]="","",INDEX([6]!NOTA[QTY],ATALI[[#This Row],[//]]-2))</f>
        <v>72</v>
      </c>
      <c r="M115" s="6" t="str">
        <f ca="1">IF(ATALI[[#This Row],[//]]="","",INDEX([6]!NOTA[STN],ATALI[[#This Row],[//]]-2))</f>
        <v>PCS</v>
      </c>
      <c r="N115" s="5">
        <f ca="1">IF(ATALI[[#This Row],[//]]="","",INDEX([6]!NOTA[HARGA SATUAN],ATALI[[#This Row],[//]]-2))</f>
        <v>15800</v>
      </c>
      <c r="O115" s="8">
        <f ca="1">IF(ATALI[[#This Row],[//]]="","",INDEX([6]!NOTA[DISC 1],ATALI[[#This Row],[//]]-2))</f>
        <v>0.125</v>
      </c>
      <c r="P115" s="8">
        <f ca="1">IF(ATALI[[#This Row],[//]]="","",INDEX([6]!NOTA[DISC 2],ATALI[[#This Row],[//]]-2))</f>
        <v>0.05</v>
      </c>
      <c r="Q115" s="5">
        <f ca="1">IF(ATALI[[#This Row],[//]]="","",INDEX([6]!NOTA[TOTAL],ATALI[[#This Row],[//]]-2))</f>
        <v>945630</v>
      </c>
      <c r="R1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4" t="str">
        <f ca="1">IF(ATALI[[#This Row],[//]]="","",INDEX([6]!NOTA[NAMA BARANG],ATALI[[#This Row],[//]]-2))</f>
        <v>BINDER A5-TSCL-M491 (COLLEGE) JK-U</v>
      </c>
      <c r="V115" s="4" t="str">
        <f ca="1">LOWER(SUBSTITUTE(SUBSTITUTE(SUBSTITUTE(SUBSTITUTE(SUBSTITUTE(SUBSTITUTE(SUBSTITUTE(ATALI[[#This Row],[N.B.nota]]," ",""),"-",""),"(",""),")",""),".",""),",",""),"/",""))</f>
        <v>bindera5tsclm491collegejku</v>
      </c>
      <c r="W115" s="4" t="s">
        <v>137</v>
      </c>
      <c r="X115" s="4" t="str">
        <f ca="1">IF(ATALI[[#This Row],[N.B.nota]]="","",ADDRESS(ROW(ATALI[QB]),COLUMN(ATALI[QB]))&amp;":"&amp;ADDRESS(ROW(),COLUMN(ATALI[QB])))</f>
        <v>$D$3:$D$115</v>
      </c>
      <c r="Y115" s="14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NOTA]]="","",HYPERLINK("[NOTA_.xlsx]NOTA!e"&amp;INDEX([6]!PAJAK[//],MATCH(ATALI[[#This Row],[ID NOTA]],[6]!PAJAK[ID],0)),"&gt;") )</f>
        <v/>
      </c>
      <c r="D116" s="6" t="str">
        <f>IF(ATALI[[#This Row],[ID NOTA]]="","",INDEX(Table1[QB],MATCH(ATALI[[#This Row],[ID NOTA]],Table1[ID],0)))</f>
        <v/>
      </c>
      <c r="E1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766</v>
      </c>
      <c r="F116" s="6"/>
      <c r="G116" s="3" t="str">
        <f>IF(ATALI[[#This Row],[ID NOTA]]="","",INDEX([6]!NOTA[TGL_H],MATCH(ATALI[[#This Row],[ID NOTA]],[6]!NOTA[ID],0)))</f>
        <v/>
      </c>
      <c r="H116" s="3" t="str">
        <f>IF(ATALI[[#This Row],[ID NOTA]]="","",INDEX([6]!NOTA[TGL.NOTA],MATCH(ATALI[[#This Row],[ID NOTA]],[6]!NOTA[ID],0)))</f>
        <v/>
      </c>
      <c r="I116" s="4" t="str">
        <f>IF(ATALI[[#This Row],[ID NOTA]]="","",INDEX([6]!NOTA[NO.NOTA],MATCH(ATALI[[#This Row],[ID NOTA]],[6]!NOTA[ID],0)))</f>
        <v/>
      </c>
      <c r="J116" s="4" t="s">
        <v>314</v>
      </c>
      <c r="K116" s="6">
        <f ca="1">IF(ATALI[[#This Row],[//]]="","",IF(INDEX([6]!NOTA[C],ATALI[[#This Row],[//]]-2)="","",INDEX([6]!NOTA[C],ATALI[[#This Row],[//]]-2)))</f>
        <v>1</v>
      </c>
      <c r="L116" s="6">
        <f ca="1">IF(ATALI[[#This Row],[//]]="","",INDEX([6]!NOTA[QTY],ATALI[[#This Row],[//]]-2))</f>
        <v>24</v>
      </c>
      <c r="M116" s="6" t="str">
        <f ca="1">IF(ATALI[[#This Row],[//]]="","",INDEX([6]!NOTA[STN],ATALI[[#This Row],[//]]-2))</f>
        <v>DZ</v>
      </c>
      <c r="N116" s="5">
        <f ca="1">IF(ATALI[[#This Row],[//]]="","",INDEX([6]!NOTA[HARGA SATUAN],ATALI[[#This Row],[//]]-2))</f>
        <v>162000</v>
      </c>
      <c r="O116" s="8">
        <f ca="1">IF(ATALI[[#This Row],[//]]="","",INDEX([6]!NOTA[DISC 1],ATALI[[#This Row],[//]]-2))</f>
        <v>0.125</v>
      </c>
      <c r="P116" s="8">
        <f ca="1">IF(ATALI[[#This Row],[//]]="","",INDEX([6]!NOTA[DISC 2],ATALI[[#This Row],[//]]-2))</f>
        <v>0.05</v>
      </c>
      <c r="Q116" s="5">
        <f ca="1">IF(ATALI[[#This Row],[//]]="","",INDEX([6]!NOTA[TOTAL],ATALI[[#This Row],[//]]-2))</f>
        <v>3231900</v>
      </c>
      <c r="R1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4" t="str">
        <f ca="1">IF(ATALI[[#This Row],[//]]="","",INDEX([6]!NOTA[NAMA BARANG],ATALI[[#This Row],[//]]-2))</f>
        <v>CUTTER L-500 JK</v>
      </c>
      <c r="V116" s="4" t="str">
        <f ca="1">LOWER(SUBSTITUTE(SUBSTITUTE(SUBSTITUTE(SUBSTITUTE(SUBSTITUTE(SUBSTITUTE(SUBSTITUTE(ATALI[[#This Row],[N.B.nota]]," ",""),"-",""),"(",""),")",""),".",""),",",""),"/",""))</f>
        <v>cutterl500jk</v>
      </c>
      <c r="W116" s="4" t="s">
        <v>137</v>
      </c>
      <c r="X116" s="4" t="str">
        <f ca="1">IF(ATALI[[#This Row],[N.B.nota]]="","",ADDRESS(ROW(ATALI[QB]),COLUMN(ATALI[QB]))&amp;":"&amp;ADDRESS(ROW(),COLUMN(ATALI[QB])))</f>
        <v>$D$3:$D$116</v>
      </c>
      <c r="Y116" s="14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6" t="str">
        <f>IF(ATALI[[#This Row],[N_ID]]="","",INDEX(Table1[ID],MATCH(ATALI[[#This Row],[N_ID]],Table1[N_ID],0)))</f>
        <v/>
      </c>
      <c r="C117" s="6" t="str">
        <f>IF(ATALI[[#This Row],[ID NOTA]]="","",HYPERLINK("[NOTA_.xlsx]NOTA!e"&amp;INDEX([6]!PAJAK[//],MATCH(ATALI[[#This Row],[ID NOTA]],[6]!PAJAK[ID],0)),"&gt;") )</f>
        <v/>
      </c>
      <c r="D117" s="6" t="str">
        <f>IF(ATALI[[#This Row],[ID NOTA]]="","",INDEX(Table1[QB],MATCH(ATALI[[#This Row],[ID NOTA]],Table1[ID],0)))</f>
        <v/>
      </c>
      <c r="E1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767</v>
      </c>
      <c r="F117" s="6"/>
      <c r="G117" s="3" t="str">
        <f>IF(ATALI[[#This Row],[ID NOTA]]="","",INDEX([6]!NOTA[TGL_H],MATCH(ATALI[[#This Row],[ID NOTA]],[6]!NOTA[ID],0)))</f>
        <v/>
      </c>
      <c r="H117" s="3" t="str">
        <f>IF(ATALI[[#This Row],[ID NOTA]]="","",INDEX([6]!NOTA[TGL.NOTA],MATCH(ATALI[[#This Row],[ID NOTA]],[6]!NOTA[ID],0)))</f>
        <v/>
      </c>
      <c r="I117" s="4" t="str">
        <f>IF(ATALI[[#This Row],[ID NOTA]]="","",INDEX([6]!NOTA[NO.NOTA],MATCH(ATALI[[#This Row],[ID NOTA]],[6]!NOTA[ID],0)))</f>
        <v/>
      </c>
      <c r="J117" s="4" t="s">
        <v>315</v>
      </c>
      <c r="K117" s="6" t="str">
        <f ca="1">IF(ATALI[[#This Row],[//]]="","",IF(INDEX([6]!NOTA[C],ATALI[[#This Row],[//]]-2)="","",INDEX([6]!NOTA[C],ATALI[[#This Row],[//]]-2)))</f>
        <v/>
      </c>
      <c r="L117" s="6">
        <f ca="1">IF(ATALI[[#This Row],[//]]="","",INDEX([6]!NOTA[QTY],ATALI[[#This Row],[//]]-2))</f>
        <v>24</v>
      </c>
      <c r="M117" s="6" t="str">
        <f ca="1">IF(ATALI[[#This Row],[//]]="","",INDEX([6]!NOTA[STN],ATALI[[#This Row],[//]]-2))</f>
        <v>DZ</v>
      </c>
      <c r="N117" s="5">
        <f ca="1">IF(ATALI[[#This Row],[//]]="","",INDEX([6]!NOTA[HARGA SATUAN],ATALI[[#This Row],[//]]-2))</f>
        <v>0</v>
      </c>
      <c r="O117" s="8">
        <f ca="1">IF(ATALI[[#This Row],[//]]="","",INDEX([6]!NOTA[DISC 1],ATALI[[#This Row],[//]]-2))</f>
        <v>0</v>
      </c>
      <c r="P117" s="8">
        <f ca="1">IF(ATALI[[#This Row],[//]]="","",INDEX([6]!NOTA[DISC 2],ATALI[[#This Row],[//]]-2))</f>
        <v>0</v>
      </c>
      <c r="Q117" s="5" t="str">
        <f ca="1">IF(ATALI[[#This Row],[//]]="","",INDEX([6]!NOTA[TOTAL],ATALI[[#This Row],[//]]-2))</f>
        <v/>
      </c>
      <c r="R11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20117580</v>
      </c>
      <c r="T11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CUTTER L-500 JK</v>
      </c>
      <c r="U117" s="4" t="str">
        <f ca="1">IF(ATALI[[#This Row],[//]]="","",INDEX([6]!NOTA[NAMA BARANG],ATALI[[#This Row],[//]]-2))</f>
        <v>CUTTER BLADE L-150 AM (L) JK</v>
      </c>
      <c r="V117" s="4" t="str">
        <f ca="1">LOWER(SUBSTITUTE(SUBSTITUTE(SUBSTITUTE(SUBSTITUTE(SUBSTITUTE(SUBSTITUTE(SUBSTITUTE(ATALI[[#This Row],[N.B.nota]]," ",""),"-",""),"(",""),")",""),".",""),",",""),"/",""))</f>
        <v>cutterbladel150amljk</v>
      </c>
      <c r="W117" s="4" t="s">
        <v>137</v>
      </c>
      <c r="X117" s="4" t="str">
        <f ca="1">IF(ATALI[[#This Row],[N.B.nota]]="","",ADDRESS(ROW(ATALI[QB]),COLUMN(ATALI[QB]))&amp;":"&amp;ADDRESS(ROW(),COLUMN(ATALI[QB])))</f>
        <v>$D$3:$D$117</v>
      </c>
      <c r="Y117" s="14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NOTA]]="","",HYPERLINK("[NOTA_.xlsx]NOTA!e"&amp;INDEX([6]!PAJAK[//],MATCH(ATALI[[#This Row],[ID NOTA]],[6]!PAJAK[ID],0)),"&gt;") )</f>
        <v/>
      </c>
      <c r="D118" s="6" t="str">
        <f>IF(ATALI[[#This Row],[ID NOTA]]="","",INDEX(Table1[QB],MATCH(ATALI[[#This Row],[ID NOTA]],Table1[ID],0)))</f>
        <v/>
      </c>
      <c r="E1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8" s="6"/>
      <c r="G118" s="3" t="str">
        <f>IF(ATALI[[#This Row],[ID NOTA]]="","",INDEX([6]!NOTA[TGL_H],MATCH(ATALI[[#This Row],[ID NOTA]],[6]!NOTA[ID],0)))</f>
        <v/>
      </c>
      <c r="H118" s="3" t="str">
        <f>IF(ATALI[[#This Row],[ID NOTA]]="","",INDEX([6]!NOTA[TGL.NOTA],MATCH(ATALI[[#This Row],[ID NOTA]],[6]!NOTA[ID],0)))</f>
        <v/>
      </c>
      <c r="I118" s="4" t="str">
        <f>IF(ATALI[[#This Row],[ID NOTA]]="","",INDEX([6]!NOTA[NO.NOTA],MATCH(ATALI[[#This Row],[ID NOTA]],[6]!NOTA[ID],0)))</f>
        <v/>
      </c>
      <c r="J118" s="4" t="s">
        <v>136</v>
      </c>
      <c r="K118" s="6" t="str">
        <f ca="1">IF(ATALI[[#This Row],[//]]="","",IF(INDEX([6]!NOTA[C],ATALI[[#This Row],[//]]-2)="","",INDEX([6]!NOTA[C],ATALI[[#This Row],[//]]-2)))</f>
        <v/>
      </c>
      <c r="L118" s="6" t="str">
        <f ca="1">IF(ATALI[[#This Row],[//]]="","",INDEX([6]!NOTA[QTY],ATALI[[#This Row],[//]]-2))</f>
        <v/>
      </c>
      <c r="M118" s="6" t="str">
        <f ca="1">IF(ATALI[[#This Row],[//]]="","",INDEX([6]!NOTA[STN],ATALI[[#This Row],[//]]-2))</f>
        <v/>
      </c>
      <c r="N118" s="5" t="str">
        <f ca="1">IF(ATALI[[#This Row],[//]]="","",INDEX([6]!NOTA[HARGA SATUAN],ATALI[[#This Row],[//]]-2))</f>
        <v/>
      </c>
      <c r="O118" s="8" t="str">
        <f ca="1">IF(ATALI[[#This Row],[//]]="","",INDEX([6]!NOTA[DISC 1],ATALI[[#This Row],[//]]-2))</f>
        <v/>
      </c>
      <c r="P118" s="8" t="str">
        <f ca="1">IF(ATALI[[#This Row],[//]]="","",INDEX([6]!NOTA[DISC 2],ATALI[[#This Row],[//]]-2))</f>
        <v/>
      </c>
      <c r="Q118" s="5" t="str">
        <f ca="1">IF(ATALI[[#This Row],[//]]="","",INDEX([6]!NOTA[TOTAL],ATALI[[#This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4" t="str">
        <f ca="1">IF(ATALI[[#This Row],[//]]="","",INDEX([6]!NOTA[NAMA BARANG],ATALI[[#This Row],[//]]-2))</f>
        <v/>
      </c>
      <c r="V118" s="4" t="str">
        <f ca="1">LOWER(SUBSTITUTE(SUBSTITUTE(SUBSTITUTE(SUBSTITUTE(SUBSTITUTE(SUBSTITUTE(SUBSTITUTE(ATALI[[#This Row],[N.B.nota]]," ",""),"-",""),"(",""),")",""),".",""),",",""),"/",""))</f>
        <v/>
      </c>
      <c r="W118" s="4" t="s">
        <v>136</v>
      </c>
      <c r="X118" s="4" t="str">
        <f ca="1">IF(ATALI[[#This Row],[N.B.nota]]="","",ADDRESS(ROW(ATALI[QB]),COLUMN(ATALI[QB]))&amp;":"&amp;ADDRESS(ROW(),COLUMN(ATALI[QB])))</f>
        <v/>
      </c>
      <c r="Y118" s="14" t="str">
        <f ca="1">IF(ATALI[[#This Row],[//]]="","",HYPERLINK("[../DB.xlsx]DB!e"&amp;MATCH(ATALI[[#This Row],[concat]],[4]!db[NB NOTA_C],0)+1,"&gt;"))</f>
        <v/>
      </c>
    </row>
    <row r="119" spans="1:25" x14ac:dyDescent="0.25">
      <c r="A119" s="4" t="s">
        <v>107</v>
      </c>
      <c r="B119" s="6">
        <f ca="1">IF(ATALI[[#This Row],[N_ID]]="","",INDEX(Table1[ID],MATCH(ATALI[[#This Row],[N_ID]],Table1[N_ID],0)))</f>
        <v>151</v>
      </c>
      <c r="C119" s="6" t="str">
        <f ca="1">IF(ATALI[[#This Row],[ID NOTA]]="","",HYPERLINK("[NOTA_.xlsx]NOTA!e"&amp;INDEX([6]!PAJAK[//],MATCH(ATALI[[#This Row],[ID NOTA]],[6]!PAJAK[ID],0)),"&gt;") )</f>
        <v>&gt;</v>
      </c>
      <c r="D119" s="6">
        <f ca="1">IF(ATALI[[#This Row],[ID NOTA]]="","",INDEX(Table1[QB],MATCH(ATALI[[#This Row],[ID NOTA]],Table1[ID],0)))</f>
        <v>7</v>
      </c>
      <c r="E1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769</v>
      </c>
      <c r="F119" s="6"/>
      <c r="G119" s="3">
        <f ca="1">IF(ATALI[[#This Row],[ID NOTA]]="","",INDEX([6]!NOTA[TGL_H],MATCH(ATALI[[#This Row],[ID NOTA]],[6]!NOTA[ID],0)))</f>
        <v>44768</v>
      </c>
      <c r="H119" s="3">
        <f ca="1">IF(ATALI[[#This Row],[ID NOTA]]="","",INDEX([6]!NOTA[TGL.NOTA],MATCH(ATALI[[#This Row],[ID NOTA]],[6]!NOTA[ID],0)))</f>
        <v>44762</v>
      </c>
      <c r="I119" s="4" t="str">
        <f ca="1">IF(ATALI[[#This Row],[ID NOTA]]="","",INDEX([6]!NOTA[NO.NOTA],MATCH(ATALI[[#This Row],[ID NOTA]],[6]!NOTA[ID],0)))</f>
        <v>SA220710503</v>
      </c>
      <c r="J119" s="4" t="s">
        <v>316</v>
      </c>
      <c r="K119" s="6">
        <f ca="1">IF(ATALI[[#This Row],[//]]="","",IF(INDEX([6]!NOTA[C],ATALI[[#This Row],[//]]-2)="","",INDEX([6]!NOTA[C],ATALI[[#This Row],[//]]-2)))</f>
        <v>2</v>
      </c>
      <c r="L119" s="6">
        <f ca="1">IF(ATALI[[#This Row],[//]]="","",INDEX([6]!NOTA[QTY],ATALI[[#This Row],[//]]-2))</f>
        <v>60</v>
      </c>
      <c r="M119" s="6" t="str">
        <f ca="1">IF(ATALI[[#This Row],[//]]="","",INDEX([6]!NOTA[STN],ATALI[[#This Row],[//]]-2))</f>
        <v>GRS</v>
      </c>
      <c r="N119" s="5">
        <f ca="1">IF(ATALI[[#This Row],[//]]="","",INDEX([6]!NOTA[HARGA SATUAN],ATALI[[#This Row],[//]]-2))</f>
        <v>104400</v>
      </c>
      <c r="O119" s="8">
        <f ca="1">IF(ATALI[[#This Row],[//]]="","",INDEX([6]!NOTA[DISC 1],ATALI[[#This Row],[//]]-2))</f>
        <v>0.125</v>
      </c>
      <c r="P119" s="8">
        <f ca="1">IF(ATALI[[#This Row],[//]]="","",INDEX([6]!NOTA[DISC 2],ATALI[[#This Row],[//]]-2))</f>
        <v>0.05</v>
      </c>
      <c r="Q119" s="5">
        <f ca="1">IF(ATALI[[#This Row],[//]]="","",INDEX([6]!NOTA[TOTAL],ATALI[[#This Row],[//]]-2))</f>
        <v>5206950</v>
      </c>
      <c r="R1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4" t="str">
        <f ca="1">IF(ATALI[[#This Row],[//]]="","",INDEX([6]!NOTA[NAMA BARANG],ATALI[[#This Row],[//]]-2))</f>
        <v>PENCIL P-88 2B JK</v>
      </c>
      <c r="V119" s="4" t="str">
        <f ca="1">LOWER(SUBSTITUTE(SUBSTITUTE(SUBSTITUTE(SUBSTITUTE(SUBSTITUTE(SUBSTITUTE(SUBSTITUTE(ATALI[[#This Row],[N.B.nota]]," ",""),"-",""),"(",""),")",""),".",""),",",""),"/",""))</f>
        <v>pencilp882bjk</v>
      </c>
      <c r="W119" s="4" t="s">
        <v>137</v>
      </c>
      <c r="X119" s="4" t="str">
        <f ca="1">IF(ATALI[[#This Row],[N.B.nota]]="","",ADDRESS(ROW(ATALI[QB]),COLUMN(ATALI[QB]))&amp;":"&amp;ADDRESS(ROW(),COLUMN(ATALI[QB])))</f>
        <v>$D$3:$D$119</v>
      </c>
      <c r="Y119" s="14" t="str">
        <f ca="1">IF(ATALI[[#This Row],[//]]="","",HYPERLINK("[../DB.xlsx]DB!e"&amp;MATCH(ATALI[[#This Row],[concat]],[4]!db[NB NOTA_C],0)+1,"&gt;"))</f>
        <v>&gt;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NOTA]]="","",HYPERLINK("[NOTA_.xlsx]NOTA!e"&amp;INDEX([6]!PAJAK[//],MATCH(ATALI[[#This Row],[ID NOTA]],[6]!PAJAK[ID],0)),"&gt;") )</f>
        <v/>
      </c>
      <c r="D120" s="6" t="str">
        <f>IF(ATALI[[#This Row],[ID NOTA]]="","",INDEX(Table1[QB],MATCH(ATALI[[#This Row],[ID NOTA]],Table1[ID],0)))</f>
        <v/>
      </c>
      <c r="E1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770</v>
      </c>
      <c r="F120" s="6"/>
      <c r="G120" s="3" t="str">
        <f>IF(ATALI[[#This Row],[ID NOTA]]="","",INDEX([6]!NOTA[TGL_H],MATCH(ATALI[[#This Row],[ID NOTA]],[6]!NOTA[ID],0)))</f>
        <v/>
      </c>
      <c r="H120" s="3" t="str">
        <f>IF(ATALI[[#This Row],[ID NOTA]]="","",INDEX([6]!NOTA[TGL.NOTA],MATCH(ATALI[[#This Row],[ID NOTA]],[6]!NOTA[ID],0)))</f>
        <v/>
      </c>
      <c r="I120" s="4" t="str">
        <f>IF(ATALI[[#This Row],[ID NOTA]]="","",INDEX([6]!NOTA[NO.NOTA],MATCH(ATALI[[#This Row],[ID NOTA]],[6]!NOTA[ID],0)))</f>
        <v/>
      </c>
      <c r="J120" s="4" t="s">
        <v>259</v>
      </c>
      <c r="K120" s="6">
        <f ca="1">IF(ATALI[[#This Row],[//]]="","",IF(INDEX([6]!NOTA[C],ATALI[[#This Row],[//]]-2)="","",INDEX([6]!NOTA[C],ATALI[[#This Row],[//]]-2)))</f>
        <v>2</v>
      </c>
      <c r="L120" s="6">
        <f ca="1">IF(ATALI[[#This Row],[//]]="","",INDEX([6]!NOTA[QTY],ATALI[[#This Row],[//]]-2))</f>
        <v>288</v>
      </c>
      <c r="M120" s="6" t="str">
        <f ca="1">IF(ATALI[[#This Row],[//]]="","",INDEX([6]!NOTA[STN],ATALI[[#This Row],[//]]-2))</f>
        <v>SET</v>
      </c>
      <c r="N120" s="5">
        <f ca="1">IF(ATALI[[#This Row],[//]]="","",INDEX([6]!NOTA[HARGA SATUAN],ATALI[[#This Row],[//]]-2))</f>
        <v>11600</v>
      </c>
      <c r="O120" s="8">
        <f ca="1">IF(ATALI[[#This Row],[//]]="","",INDEX([6]!NOTA[DISC 1],ATALI[[#This Row],[//]]-2))</f>
        <v>0.125</v>
      </c>
      <c r="P120" s="8">
        <f ca="1">IF(ATALI[[#This Row],[//]]="","",INDEX([6]!NOTA[DISC 2],ATALI[[#This Row],[//]]-2))</f>
        <v>0.05</v>
      </c>
      <c r="Q120" s="5">
        <f ca="1">IF(ATALI[[#This Row],[//]]="","",INDEX([6]!NOTA[TOTAL],ATALI[[#This Row],[//]]-2))</f>
        <v>2777040</v>
      </c>
      <c r="R1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4" t="str">
        <f ca="1">IF(ATALI[[#This Row],[//]]="","",INDEX([6]!NOTA[NAMA BARANG],ATALI[[#This Row],[//]]-2))</f>
        <v>OIL PASTEL OP-12CHC COMPACT JK</v>
      </c>
      <c r="V120" s="4" t="str">
        <f ca="1">LOWER(SUBSTITUTE(SUBSTITUTE(SUBSTITUTE(SUBSTITUTE(SUBSTITUTE(SUBSTITUTE(SUBSTITUTE(ATALI[[#This Row],[N.B.nota]]," ",""),"-",""),"(",""),")",""),".",""),",",""),"/",""))</f>
        <v>oilpastelop12chccompactjk</v>
      </c>
      <c r="W120" s="4" t="s">
        <v>137</v>
      </c>
      <c r="X120" s="4" t="str">
        <f ca="1">IF(ATALI[[#This Row],[N.B.nota]]="","",ADDRESS(ROW(ATALI[QB]),COLUMN(ATALI[QB]))&amp;":"&amp;ADDRESS(ROW(),COLUMN(ATALI[QB])))</f>
        <v>$D$3:$D$120</v>
      </c>
      <c r="Y120" s="14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NOTA]]="","",HYPERLINK("[NOTA_.xlsx]NOTA!e"&amp;INDEX([6]!PAJAK[//],MATCH(ATALI[[#This Row],[ID NOTA]],[6]!PAJAK[ID],0)),"&gt;") )</f>
        <v/>
      </c>
      <c r="D121" s="6" t="str">
        <f>IF(ATALI[[#This Row],[ID NOTA]]="","",INDEX(Table1[QB],MATCH(ATALI[[#This Row],[ID NOTA]],Table1[ID],0)))</f>
        <v/>
      </c>
      <c r="E1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771</v>
      </c>
      <c r="F121" s="6"/>
      <c r="G121" s="3" t="str">
        <f>IF(ATALI[[#This Row],[ID NOTA]]="","",INDEX([6]!NOTA[TGL_H],MATCH(ATALI[[#This Row],[ID NOTA]],[6]!NOTA[ID],0)))</f>
        <v/>
      </c>
      <c r="H121" s="3" t="str">
        <f>IF(ATALI[[#This Row],[ID NOTA]]="","",INDEX([6]!NOTA[TGL.NOTA],MATCH(ATALI[[#This Row],[ID NOTA]],[6]!NOTA[ID],0)))</f>
        <v/>
      </c>
      <c r="I121" s="4" t="str">
        <f>IF(ATALI[[#This Row],[ID NOTA]]="","",INDEX([6]!NOTA[NO.NOTA],MATCH(ATALI[[#This Row],[ID NOTA]],[6]!NOTA[ID],0)))</f>
        <v/>
      </c>
      <c r="J121" s="4" t="s">
        <v>268</v>
      </c>
      <c r="K121" s="6">
        <f ca="1">IF(ATALI[[#This Row],[//]]="","",IF(INDEX([6]!NOTA[C],ATALI[[#This Row],[//]]-2)="","",INDEX([6]!NOTA[C],ATALI[[#This Row],[//]]-2)))</f>
        <v>5</v>
      </c>
      <c r="L121" s="6">
        <f ca="1">IF(ATALI[[#This Row],[//]]="","",INDEX([6]!NOTA[QTY],ATALI[[#This Row],[//]]-2))</f>
        <v>720</v>
      </c>
      <c r="M121" s="6" t="str">
        <f ca="1">IF(ATALI[[#This Row],[//]]="","",INDEX([6]!NOTA[STN],ATALI[[#This Row],[//]]-2))</f>
        <v>SET</v>
      </c>
      <c r="N121" s="5">
        <f ca="1">IF(ATALI[[#This Row],[//]]="","",INDEX([6]!NOTA[HARGA SATUAN],ATALI[[#This Row],[//]]-2))</f>
        <v>11900</v>
      </c>
      <c r="O121" s="8">
        <f ca="1">IF(ATALI[[#This Row],[//]]="","",INDEX([6]!NOTA[DISC 1],ATALI[[#This Row],[//]]-2))</f>
        <v>0.125</v>
      </c>
      <c r="P121" s="8">
        <f ca="1">IF(ATALI[[#This Row],[//]]="","",INDEX([6]!NOTA[DISC 2],ATALI[[#This Row],[//]]-2))</f>
        <v>0.05</v>
      </c>
      <c r="Q121" s="5">
        <f ca="1">IF(ATALI[[#This Row],[//]]="","",INDEX([6]!NOTA[TOTAL],ATALI[[#This Row],[//]]-2))</f>
        <v>7122150</v>
      </c>
      <c r="R1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4" t="str">
        <f ca="1">IF(ATALI[[#This Row],[//]]="","",INDEX([6]!NOTA[NAMA BARANG],ATALI[[#This Row],[//]]-2))</f>
        <v>OIL PASTEL OP-12S PP CASE SEA WORLD JK</v>
      </c>
      <c r="V12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21" s="4" t="s">
        <v>137</v>
      </c>
      <c r="X121" s="4" t="str">
        <f ca="1">IF(ATALI[[#This Row],[N.B.nota]]="","",ADDRESS(ROW(ATALI[QB]),COLUMN(ATALI[QB]))&amp;":"&amp;ADDRESS(ROW(),COLUMN(ATALI[QB])))</f>
        <v>$D$3:$D$121</v>
      </c>
      <c r="Y121" s="14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NOTA]]="","",HYPERLINK("[NOTA_.xlsx]NOTA!e"&amp;INDEX([6]!PAJAK[//],MATCH(ATALI[[#This Row],[ID NOTA]],[6]!PAJAK[ID],0)),"&gt;") )</f>
        <v/>
      </c>
      <c r="D122" s="6" t="str">
        <f>IF(ATALI[[#This Row],[ID NOTA]]="","",INDEX(Table1[QB],MATCH(ATALI[[#This Row],[ID NOTA]],Table1[ID],0)))</f>
        <v/>
      </c>
      <c r="E1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772</v>
      </c>
      <c r="F122" s="6"/>
      <c r="G122" s="3" t="str">
        <f>IF(ATALI[[#This Row],[ID NOTA]]="","",INDEX([6]!NOTA[TGL_H],MATCH(ATALI[[#This Row],[ID NOTA]],[6]!NOTA[ID],0)))</f>
        <v/>
      </c>
      <c r="H122" s="3" t="str">
        <f>IF(ATALI[[#This Row],[ID NOTA]]="","",INDEX([6]!NOTA[TGL.NOTA],MATCH(ATALI[[#This Row],[ID NOTA]],[6]!NOTA[ID],0)))</f>
        <v/>
      </c>
      <c r="I122" s="4" t="str">
        <f>IF(ATALI[[#This Row],[ID NOTA]]="","",INDEX([6]!NOTA[NO.NOTA],MATCH(ATALI[[#This Row],[ID NOTA]],[6]!NOTA[ID],0)))</f>
        <v/>
      </c>
      <c r="J122" s="4" t="s">
        <v>269</v>
      </c>
      <c r="K122" s="6">
        <f ca="1">IF(ATALI[[#This Row],[//]]="","",IF(INDEX([6]!NOTA[C],ATALI[[#This Row],[//]]-2)="","",INDEX([6]!NOTA[C],ATALI[[#This Row],[//]]-2)))</f>
        <v>2</v>
      </c>
      <c r="L122" s="6">
        <f ca="1">IF(ATALI[[#This Row],[//]]="","",INDEX([6]!NOTA[QTY],ATALI[[#This Row],[//]]-2))</f>
        <v>144</v>
      </c>
      <c r="M122" s="6" t="str">
        <f ca="1">IF(ATALI[[#This Row],[//]]="","",INDEX([6]!NOTA[STN],ATALI[[#This Row],[//]]-2))</f>
        <v>SET</v>
      </c>
      <c r="N122" s="5">
        <f ca="1">IF(ATALI[[#This Row],[//]]="","",INDEX([6]!NOTA[HARGA SATUAN],ATALI[[#This Row],[//]]-2))</f>
        <v>23000</v>
      </c>
      <c r="O122" s="8">
        <f ca="1">IF(ATALI[[#This Row],[//]]="","",INDEX([6]!NOTA[DISC 1],ATALI[[#This Row],[//]]-2))</f>
        <v>0.125</v>
      </c>
      <c r="P122" s="8">
        <f ca="1">IF(ATALI[[#This Row],[//]]="","",INDEX([6]!NOTA[DISC 2],ATALI[[#This Row],[//]]-2))</f>
        <v>0.05</v>
      </c>
      <c r="Q122" s="5">
        <f ca="1">IF(ATALI[[#This Row],[//]]="","",INDEX([6]!NOTA[TOTAL],ATALI[[#This Row],[//]]-2))</f>
        <v>2753100</v>
      </c>
      <c r="R1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4" t="str">
        <f ca="1">IF(ATALI[[#This Row],[//]]="","",INDEX([6]!NOTA[NAMA BARANG],ATALI[[#This Row],[//]]-2))</f>
        <v>OIL PASTEL OP-18S PP CASE SEA WORLD JK</v>
      </c>
      <c r="V12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22" s="4" t="s">
        <v>137</v>
      </c>
      <c r="X122" s="4" t="str">
        <f ca="1">IF(ATALI[[#This Row],[N.B.nota]]="","",ADDRESS(ROW(ATALI[QB]),COLUMN(ATALI[QB]))&amp;":"&amp;ADDRESS(ROW(),COLUMN(ATALI[QB])))</f>
        <v>$D$3:$D$122</v>
      </c>
      <c r="Y122" s="14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NOTA]]="","",HYPERLINK("[NOTA_.xlsx]NOTA!e"&amp;INDEX([6]!PAJAK[//],MATCH(ATALI[[#This Row],[ID NOTA]],[6]!PAJAK[ID],0)),"&gt;") )</f>
        <v/>
      </c>
      <c r="D123" s="6" t="str">
        <f>IF(ATALI[[#This Row],[ID NOTA]]="","",INDEX(Table1[QB],MATCH(ATALI[[#This Row],[ID NOTA]],Table1[ID],0)))</f>
        <v/>
      </c>
      <c r="E1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773</v>
      </c>
      <c r="F123" s="6"/>
      <c r="G123" s="3" t="str">
        <f>IF(ATALI[[#This Row],[ID NOTA]]="","",INDEX([6]!NOTA[TGL_H],MATCH(ATALI[[#This Row],[ID NOTA]],[6]!NOTA[ID],0)))</f>
        <v/>
      </c>
      <c r="H123" s="3" t="str">
        <f>IF(ATALI[[#This Row],[ID NOTA]]="","",INDEX([6]!NOTA[TGL.NOTA],MATCH(ATALI[[#This Row],[ID NOTA]],[6]!NOTA[ID],0)))</f>
        <v/>
      </c>
      <c r="I123" s="4" t="str">
        <f>IF(ATALI[[#This Row],[ID NOTA]]="","",INDEX([6]!NOTA[NO.NOTA],MATCH(ATALI[[#This Row],[ID NOTA]],[6]!NOTA[ID],0)))</f>
        <v/>
      </c>
      <c r="J123" s="4" t="s">
        <v>270</v>
      </c>
      <c r="K123" s="6">
        <f ca="1">IF(ATALI[[#This Row],[//]]="","",IF(INDEX([6]!NOTA[C],ATALI[[#This Row],[//]]-2)="","",INDEX([6]!NOTA[C],ATALI[[#This Row],[//]]-2)))</f>
        <v>3</v>
      </c>
      <c r="L123" s="6">
        <f ca="1">IF(ATALI[[#This Row],[//]]="","",INDEX([6]!NOTA[QTY],ATALI[[#This Row],[//]]-2))</f>
        <v>144</v>
      </c>
      <c r="M123" s="6" t="str">
        <f ca="1">IF(ATALI[[#This Row],[//]]="","",INDEX([6]!NOTA[STN],ATALI[[#This Row],[//]]-2))</f>
        <v>SET</v>
      </c>
      <c r="N123" s="5">
        <f ca="1">IF(ATALI[[#This Row],[//]]="","",INDEX([6]!NOTA[HARGA SATUAN],ATALI[[#This Row],[//]]-2))</f>
        <v>28700</v>
      </c>
      <c r="O123" s="8">
        <f ca="1">IF(ATALI[[#This Row],[//]]="","",INDEX([6]!NOTA[DISC 1],ATALI[[#This Row],[//]]-2))</f>
        <v>0.125</v>
      </c>
      <c r="P123" s="8">
        <f ca="1">IF(ATALI[[#This Row],[//]]="","",INDEX([6]!NOTA[DISC 2],ATALI[[#This Row],[//]]-2))</f>
        <v>0.05</v>
      </c>
      <c r="Q123" s="5">
        <f ca="1">IF(ATALI[[#This Row],[//]]="","",INDEX([6]!NOTA[TOTAL],ATALI[[#This Row],[//]]-2))</f>
        <v>3435390</v>
      </c>
      <c r="R1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4" t="str">
        <f ca="1">IF(ATALI[[#This Row],[//]]="","",INDEX([6]!NOTA[NAMA BARANG],ATALI[[#This Row],[//]]-2))</f>
        <v>OIL PASTEL OP-24S PP CASE SEA WORLD JK</v>
      </c>
      <c r="V12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23" s="4" t="s">
        <v>137</v>
      </c>
      <c r="X123" s="4" t="str">
        <f ca="1">IF(ATALI[[#This Row],[N.B.nota]]="","",ADDRESS(ROW(ATALI[QB]),COLUMN(ATALI[QB]))&amp;":"&amp;ADDRESS(ROW(),COLUMN(ATALI[QB])))</f>
        <v>$D$3:$D$123</v>
      </c>
      <c r="Y123" s="14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NOTA]]="","",HYPERLINK("[NOTA_.xlsx]NOTA!e"&amp;INDEX([6]!PAJAK[//],MATCH(ATALI[[#This Row],[ID NOTA]],[6]!PAJAK[ID],0)),"&gt;") )</f>
        <v/>
      </c>
      <c r="D124" s="6" t="str">
        <f>IF(ATALI[[#This Row],[ID NOTA]]="","",INDEX(Table1[QB],MATCH(ATALI[[#This Row],[ID NOTA]],Table1[ID],0)))</f>
        <v/>
      </c>
      <c r="E1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774</v>
      </c>
      <c r="F124" s="6"/>
      <c r="G124" s="3" t="str">
        <f>IF(ATALI[[#This Row],[ID NOTA]]="","",INDEX([6]!NOTA[TGL_H],MATCH(ATALI[[#This Row],[ID NOTA]],[6]!NOTA[ID],0)))</f>
        <v/>
      </c>
      <c r="H124" s="3" t="str">
        <f>IF(ATALI[[#This Row],[ID NOTA]]="","",INDEX([6]!NOTA[TGL.NOTA],MATCH(ATALI[[#This Row],[ID NOTA]],[6]!NOTA[ID],0)))</f>
        <v/>
      </c>
      <c r="I124" s="4" t="str">
        <f>IF(ATALI[[#This Row],[ID NOTA]]="","",INDEX([6]!NOTA[NO.NOTA],MATCH(ATALI[[#This Row],[ID NOTA]],[6]!NOTA[ID],0)))</f>
        <v/>
      </c>
      <c r="J124" s="4" t="s">
        <v>306</v>
      </c>
      <c r="K124" s="6">
        <f ca="1">IF(ATALI[[#This Row],[//]]="","",IF(INDEX([6]!NOTA[C],ATALI[[#This Row],[//]]-2)="","",INDEX([6]!NOTA[C],ATALI[[#This Row],[//]]-2)))</f>
        <v>2</v>
      </c>
      <c r="L124" s="6">
        <f ca="1">IF(ATALI[[#This Row],[//]]="","",INDEX([6]!NOTA[QTY],ATALI[[#This Row],[//]]-2))</f>
        <v>72</v>
      </c>
      <c r="M124" s="6" t="str">
        <f ca="1">IF(ATALI[[#This Row],[//]]="","",INDEX([6]!NOTA[STN],ATALI[[#This Row],[//]]-2))</f>
        <v>SET</v>
      </c>
      <c r="N124" s="5">
        <f ca="1">IF(ATALI[[#This Row],[//]]="","",INDEX([6]!NOTA[HARGA SATUAN],ATALI[[#This Row],[//]]-2))</f>
        <v>41500</v>
      </c>
      <c r="O124" s="8">
        <f ca="1">IF(ATALI[[#This Row],[//]]="","",INDEX([6]!NOTA[DISC 1],ATALI[[#This Row],[//]]-2))</f>
        <v>0.125</v>
      </c>
      <c r="P124" s="8">
        <f ca="1">IF(ATALI[[#This Row],[//]]="","",INDEX([6]!NOTA[DISC 2],ATALI[[#This Row],[//]]-2))</f>
        <v>0.05</v>
      </c>
      <c r="Q124" s="5">
        <f ca="1">IF(ATALI[[#This Row],[//]]="","",INDEX([6]!NOTA[TOTAL],ATALI[[#This Row],[//]]-2))</f>
        <v>2483775</v>
      </c>
      <c r="R1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4" t="str">
        <f ca="1">IF(ATALI[[#This Row],[//]]="","",INDEX([6]!NOTA[NAMA BARANG],ATALI[[#This Row],[//]]-2))</f>
        <v>OIL PASTEL OP-36S PP CASE SEA WORLD JK</v>
      </c>
      <c r="V124" s="4" t="str">
        <f ca="1">LOWER(SUBSTITUTE(SUBSTITUTE(SUBSTITUTE(SUBSTITUTE(SUBSTITUTE(SUBSTITUTE(SUBSTITUTE(ATALI[[#This Row],[N.B.nota]]," ",""),"-",""),"(",""),")",""),".",""),",",""),"/",""))</f>
        <v>oilpastelop36sppcaseseaworldjk</v>
      </c>
      <c r="W124" s="4" t="s">
        <v>137</v>
      </c>
      <c r="X124" s="4" t="str">
        <f ca="1">IF(ATALI[[#This Row],[N.B.nota]]="","",ADDRESS(ROW(ATALI[QB]),COLUMN(ATALI[QB]))&amp;":"&amp;ADDRESS(ROW(),COLUMN(ATALI[QB])))</f>
        <v>$D$3:$D$124</v>
      </c>
      <c r="Y124" s="14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NOTA]]="","",HYPERLINK("[NOTA_.xlsx]NOTA!e"&amp;INDEX([6]!PAJAK[//],MATCH(ATALI[[#This Row],[ID NOTA]],[6]!PAJAK[ID],0)),"&gt;") )</f>
        <v/>
      </c>
      <c r="D125" s="6" t="str">
        <f>IF(ATALI[[#This Row],[ID NOTA]]="","",INDEX(Table1[QB],MATCH(ATALI[[#This Row],[ID NOTA]],Table1[ID],0)))</f>
        <v/>
      </c>
      <c r="E1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775</v>
      </c>
      <c r="F125" s="6"/>
      <c r="G125" s="3" t="str">
        <f>IF(ATALI[[#This Row],[ID NOTA]]="","",INDEX([6]!NOTA[TGL_H],MATCH(ATALI[[#This Row],[ID NOTA]],[6]!NOTA[ID],0)))</f>
        <v/>
      </c>
      <c r="H125" s="3" t="str">
        <f>IF(ATALI[[#This Row],[ID NOTA]]="","",INDEX([6]!NOTA[TGL.NOTA],MATCH(ATALI[[#This Row],[ID NOTA]],[6]!NOTA[ID],0)))</f>
        <v/>
      </c>
      <c r="I125" s="4" t="str">
        <f>IF(ATALI[[#This Row],[ID NOTA]]="","",INDEX([6]!NOTA[NO.NOTA],MATCH(ATALI[[#This Row],[ID NOTA]],[6]!NOTA[ID],0)))</f>
        <v/>
      </c>
      <c r="J125" s="4" t="s">
        <v>255</v>
      </c>
      <c r="K125" s="6" t="str">
        <f ca="1">IF(ATALI[[#This Row],[//]]="","",IF(INDEX([6]!NOTA[C],ATALI[[#This Row],[//]]-2)="","",INDEX([6]!NOTA[C],ATALI[[#This Row],[//]]-2)))</f>
        <v/>
      </c>
      <c r="L125" s="6">
        <f ca="1">IF(ATALI[[#This Row],[//]]="","",INDEX([6]!NOTA[QTY],ATALI[[#This Row],[//]]-2))</f>
        <v>84</v>
      </c>
      <c r="M125" s="6" t="str">
        <f ca="1">IF(ATALI[[#This Row],[//]]="","",INDEX([6]!NOTA[STN],ATALI[[#This Row],[//]]-2))</f>
        <v>DZ</v>
      </c>
      <c r="N125" s="5">
        <f ca="1">IF(ATALI[[#This Row],[//]]="","",INDEX([6]!NOTA[HARGA SATUAN],ATALI[[#This Row],[//]]-2))</f>
        <v>12600</v>
      </c>
      <c r="O125" s="8">
        <f ca="1">IF(ATALI[[#This Row],[//]]="","",INDEX([6]!NOTA[DISC 1],ATALI[[#This Row],[//]]-2))</f>
        <v>0.125</v>
      </c>
      <c r="P125" s="8">
        <f ca="1">IF(ATALI[[#This Row],[//]]="","",INDEX([6]!NOTA[DISC 2],ATALI[[#This Row],[//]]-2))</f>
        <v>0.05</v>
      </c>
      <c r="Q125" s="5">
        <f ca="1">IF(ATALI[[#This Row],[//]]="","",INDEX([6]!NOTA[TOTAL],ATALI[[#This Row],[//]]-2))</f>
        <v>879795</v>
      </c>
      <c r="R12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879795</v>
      </c>
      <c r="S12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23778405</v>
      </c>
      <c r="T125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25" s="4" t="str">
        <f ca="1">IF(ATALI[[#This Row],[//]]="","",INDEX([6]!NOTA[NAMA BARANG],ATALI[[#This Row],[//]]-2))</f>
        <v>BALLPEN BP-338 VOCUS (BLACK) JK</v>
      </c>
      <c r="V125" s="4" t="str">
        <f ca="1">LOWER(SUBSTITUTE(SUBSTITUTE(SUBSTITUTE(SUBSTITUTE(SUBSTITUTE(SUBSTITUTE(SUBSTITUTE(ATALI[[#This Row],[N.B.nota]]," ",""),"-",""),"(",""),")",""),".",""),",",""),"/",""))</f>
        <v>ballpenbp338vocusblackjk</v>
      </c>
      <c r="W125" s="4" t="s">
        <v>137</v>
      </c>
      <c r="X125" s="4" t="str">
        <f ca="1">IF(ATALI[[#This Row],[N.B.nota]]="","",ADDRESS(ROW(ATALI[QB]),COLUMN(ATALI[QB]))&amp;":"&amp;ADDRESS(ROW(),COLUMN(ATALI[QB])))</f>
        <v>$D$3:$D$125</v>
      </c>
      <c r="Y125" s="14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NOTA]]="","",HYPERLINK("[NOTA_.xlsx]NOTA!e"&amp;INDEX([6]!PAJAK[//],MATCH(ATALI[[#This Row],[ID NOTA]],[6]!PAJAK[ID],0)),"&gt;") )</f>
        <v/>
      </c>
      <c r="D126" s="6" t="str">
        <f>IF(ATALI[[#This Row],[ID NOTA]]="","",INDEX(Table1[QB],MATCH(ATALI[[#This Row],[ID NOTA]],Table1[ID],0)))</f>
        <v/>
      </c>
      <c r="E1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6" s="6"/>
      <c r="G126" s="3" t="str">
        <f>IF(ATALI[[#This Row],[ID NOTA]]="","",INDEX([6]!NOTA[TGL_H],MATCH(ATALI[[#This Row],[ID NOTA]],[6]!NOTA[ID],0)))</f>
        <v/>
      </c>
      <c r="H126" s="3" t="str">
        <f>IF(ATALI[[#This Row],[ID NOTA]]="","",INDEX([6]!NOTA[TGL.NOTA],MATCH(ATALI[[#This Row],[ID NOTA]],[6]!NOTA[ID],0)))</f>
        <v/>
      </c>
      <c r="I126" s="4" t="str">
        <f>IF(ATALI[[#This Row],[ID NOTA]]="","",INDEX([6]!NOTA[NO.NOTA],MATCH(ATALI[[#This Row],[ID NOTA]],[6]!NOTA[ID],0)))</f>
        <v/>
      </c>
      <c r="J126" s="4" t="s">
        <v>136</v>
      </c>
      <c r="K126" s="6" t="str">
        <f ca="1">IF(ATALI[[#This Row],[//]]="","",IF(INDEX([6]!NOTA[C],ATALI[[#This Row],[//]]-2)="","",INDEX([6]!NOTA[C],ATALI[[#This Row],[//]]-2)))</f>
        <v/>
      </c>
      <c r="L126" s="6" t="str">
        <f ca="1">IF(ATALI[[#This Row],[//]]="","",INDEX([6]!NOTA[QTY],ATALI[[#This Row],[//]]-2))</f>
        <v/>
      </c>
      <c r="M126" s="6" t="str">
        <f ca="1">IF(ATALI[[#This Row],[//]]="","",INDEX([6]!NOTA[STN],ATALI[[#This Row],[//]]-2))</f>
        <v/>
      </c>
      <c r="N126" s="5" t="str">
        <f ca="1">IF(ATALI[[#This Row],[//]]="","",INDEX([6]!NOTA[HARGA SATUAN],ATALI[[#This Row],[//]]-2))</f>
        <v/>
      </c>
      <c r="O126" s="8" t="str">
        <f ca="1">IF(ATALI[[#This Row],[//]]="","",INDEX([6]!NOTA[DISC 1],ATALI[[#This Row],[//]]-2))</f>
        <v/>
      </c>
      <c r="P126" s="8" t="str">
        <f ca="1">IF(ATALI[[#This Row],[//]]="","",INDEX([6]!NOTA[DISC 2],ATALI[[#This Row],[//]]-2))</f>
        <v/>
      </c>
      <c r="Q126" s="5" t="str">
        <f ca="1">IF(ATALI[[#This Row],[//]]="","",INDEX([6]!NOTA[TOTAL],ATALI[[#This Row],[//]]-2))</f>
        <v/>
      </c>
      <c r="R1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s="4" t="str">
        <f ca="1">IF(ATALI[[#This Row],[//]]="","",INDEX([6]!NOTA[NAMA BARANG],ATALI[[#This Row],[//]]-2))</f>
        <v/>
      </c>
      <c r="V126" s="4" t="str">
        <f ca="1">LOWER(SUBSTITUTE(SUBSTITUTE(SUBSTITUTE(SUBSTITUTE(SUBSTITUTE(SUBSTITUTE(SUBSTITUTE(ATALI[[#This Row],[N.B.nota]]," ",""),"-",""),"(",""),")",""),".",""),",",""),"/",""))</f>
        <v/>
      </c>
      <c r="W126" s="4" t="s">
        <v>136</v>
      </c>
      <c r="X126" s="4" t="str">
        <f ca="1">IF(ATALI[[#This Row],[N.B.nota]]="","",ADDRESS(ROW(ATALI[QB]),COLUMN(ATALI[QB]))&amp;":"&amp;ADDRESS(ROW(),COLUMN(ATALI[QB])))</f>
        <v/>
      </c>
      <c r="Y126" s="14" t="str">
        <f ca="1">IF(ATALI[[#This Row],[//]]="","",HYPERLINK("[../DB.xlsx]DB!e"&amp;MATCH(ATALI[[#This Row],[concat]],[4]!db[NB NOTA_C],0)+1,"&gt;"))</f>
        <v/>
      </c>
    </row>
    <row r="127" spans="1:25" x14ac:dyDescent="0.25">
      <c r="A127" s="4" t="s">
        <v>108</v>
      </c>
      <c r="B127" s="6">
        <f ca="1">IF(ATALI[[#This Row],[N_ID]]="","",INDEX(Table1[ID],MATCH(ATALI[[#This Row],[N_ID]],Table1[N_ID],0)))</f>
        <v>152</v>
      </c>
      <c r="C127" s="6" t="str">
        <f ca="1">IF(ATALI[[#This Row],[ID NOTA]]="","",HYPERLINK("[NOTA_.xlsx]NOTA!e"&amp;INDEX([6]!PAJAK[//],MATCH(ATALI[[#This Row],[ID NOTA]],[6]!PAJAK[ID],0)),"&gt;") )</f>
        <v>&gt;</v>
      </c>
      <c r="D127" s="6">
        <f ca="1">IF(ATALI[[#This Row],[ID NOTA]]="","",INDEX(Table1[QB],MATCH(ATALI[[#This Row],[ID NOTA]],Table1[ID],0)))</f>
        <v>6</v>
      </c>
      <c r="E1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777</v>
      </c>
      <c r="F127" s="6"/>
      <c r="G127" s="3">
        <f ca="1">IF(ATALI[[#This Row],[ID NOTA]]="","",INDEX([6]!NOTA[TGL_H],MATCH(ATALI[[#This Row],[ID NOTA]],[6]!NOTA[ID],0)))</f>
        <v>44768</v>
      </c>
      <c r="H127" s="3">
        <f ca="1">IF(ATALI[[#This Row],[ID NOTA]]="","",INDEX([6]!NOTA[TGL.NOTA],MATCH(ATALI[[#This Row],[ID NOTA]],[6]!NOTA[ID],0)))</f>
        <v>44762</v>
      </c>
      <c r="I127" s="4" t="str">
        <f ca="1">IF(ATALI[[#This Row],[ID NOTA]]="","",INDEX([6]!NOTA[NO.NOTA],MATCH(ATALI[[#This Row],[ID NOTA]],[6]!NOTA[ID],0)))</f>
        <v>SA220710512</v>
      </c>
      <c r="J127" s="4" t="s">
        <v>316</v>
      </c>
      <c r="K127" s="6">
        <f ca="1">IF(ATALI[[#This Row],[//]]="","",IF(INDEX([6]!NOTA[C],ATALI[[#This Row],[//]]-2)="","",INDEX([6]!NOTA[C],ATALI[[#This Row],[//]]-2)))</f>
        <v>15</v>
      </c>
      <c r="L127" s="6">
        <f ca="1">IF(ATALI[[#This Row],[//]]="","",INDEX([6]!NOTA[QTY],ATALI[[#This Row],[//]]-2))</f>
        <v>450</v>
      </c>
      <c r="M127" s="6" t="str">
        <f ca="1">IF(ATALI[[#This Row],[//]]="","",INDEX([6]!NOTA[STN],ATALI[[#This Row],[//]]-2))</f>
        <v>GRS</v>
      </c>
      <c r="N127" s="5">
        <f ca="1">IF(ATALI[[#This Row],[//]]="","",INDEX([6]!NOTA[HARGA SATUAN],ATALI[[#This Row],[//]]-2))</f>
        <v>104400</v>
      </c>
      <c r="O127" s="8">
        <f ca="1">IF(ATALI[[#This Row],[//]]="","",INDEX([6]!NOTA[DISC 1],ATALI[[#This Row],[//]]-2))</f>
        <v>0.125</v>
      </c>
      <c r="P127" s="8">
        <f ca="1">IF(ATALI[[#This Row],[//]]="","",INDEX([6]!NOTA[DISC 2],ATALI[[#This Row],[//]]-2))</f>
        <v>0.05</v>
      </c>
      <c r="Q127" s="5">
        <f ca="1">IF(ATALI[[#This Row],[//]]="","",INDEX([6]!NOTA[TOTAL],ATALI[[#This Row],[//]]-2))</f>
        <v>39052125</v>
      </c>
      <c r="R1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4" t="str">
        <f ca="1">IF(ATALI[[#This Row],[//]]="","",INDEX([6]!NOTA[NAMA BARANG],ATALI[[#This Row],[//]]-2))</f>
        <v>PENCIL P-88 2B JK</v>
      </c>
      <c r="V127" s="4" t="str">
        <f ca="1">LOWER(SUBSTITUTE(SUBSTITUTE(SUBSTITUTE(SUBSTITUTE(SUBSTITUTE(SUBSTITUTE(SUBSTITUTE(ATALI[[#This Row],[N.B.nota]]," ",""),"-",""),"(",""),")",""),".",""),",",""),"/",""))</f>
        <v>pencilp882bjk</v>
      </c>
      <c r="W127" s="4" t="s">
        <v>137</v>
      </c>
      <c r="X127" s="4" t="str">
        <f ca="1">IF(ATALI[[#This Row],[N.B.nota]]="","",ADDRESS(ROW(ATALI[QB]),COLUMN(ATALI[QB]))&amp;":"&amp;ADDRESS(ROW(),COLUMN(ATALI[QB])))</f>
        <v>$D$3:$D$127</v>
      </c>
      <c r="Y127" s="14" t="str">
        <f ca="1">IF(ATALI[[#This Row],[//]]="","",HYPERLINK("[../DB.xlsx]DB!e"&amp;MATCH(ATALI[[#This Row],[concat]],[4]!db[NB NOTA_C],0)+1,"&gt;"))</f>
        <v>&gt;</v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NOTA]]="","",HYPERLINK("[NOTA_.xlsx]NOTA!e"&amp;INDEX([6]!PAJAK[//],MATCH(ATALI[[#This Row],[ID NOTA]],[6]!PAJAK[ID],0)),"&gt;") )</f>
        <v/>
      </c>
      <c r="D128" s="6" t="str">
        <f>IF(ATALI[[#This Row],[ID NOTA]]="","",INDEX(Table1[QB],MATCH(ATALI[[#This Row],[ID NOTA]],Table1[ID],0)))</f>
        <v/>
      </c>
      <c r="E1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778</v>
      </c>
      <c r="F128" s="6"/>
      <c r="G128" s="3" t="str">
        <f>IF(ATALI[[#This Row],[ID NOTA]]="","",INDEX([6]!NOTA[TGL_H],MATCH(ATALI[[#This Row],[ID NOTA]],[6]!NOTA[ID],0)))</f>
        <v/>
      </c>
      <c r="H128" s="3" t="str">
        <f>IF(ATALI[[#This Row],[ID NOTA]]="","",INDEX([6]!NOTA[TGL.NOTA],MATCH(ATALI[[#This Row],[ID NOTA]],[6]!NOTA[ID],0)))</f>
        <v/>
      </c>
      <c r="I128" s="4" t="str">
        <f>IF(ATALI[[#This Row],[ID NOTA]]="","",INDEX([6]!NOTA[NO.NOTA],MATCH(ATALI[[#This Row],[ID NOTA]],[6]!NOTA[ID],0)))</f>
        <v/>
      </c>
      <c r="J128" s="4" t="s">
        <v>317</v>
      </c>
      <c r="K128" s="6">
        <f ca="1">IF(ATALI[[#This Row],[//]]="","",IF(INDEX([6]!NOTA[C],ATALI[[#This Row],[//]]-2)="","",INDEX([6]!NOTA[C],ATALI[[#This Row],[//]]-2)))</f>
        <v>2</v>
      </c>
      <c r="L128" s="6">
        <f ca="1">IF(ATALI[[#This Row],[//]]="","",INDEX([6]!NOTA[QTY],ATALI[[#This Row],[//]]-2))</f>
        <v>288</v>
      </c>
      <c r="M128" s="6" t="str">
        <f ca="1">IF(ATALI[[#This Row],[//]]="","",INDEX([6]!NOTA[STN],ATALI[[#This Row],[//]]-2))</f>
        <v>DZ</v>
      </c>
      <c r="N128" s="5">
        <f ca="1">IF(ATALI[[#This Row],[//]]="","",INDEX([6]!NOTA[HARGA SATUAN],ATALI[[#This Row],[//]]-2))</f>
        <v>14100</v>
      </c>
      <c r="O128" s="8">
        <f ca="1">IF(ATALI[[#This Row],[//]]="","",INDEX([6]!NOTA[DISC 1],ATALI[[#This Row],[//]]-2))</f>
        <v>0.125</v>
      </c>
      <c r="P128" s="8">
        <f ca="1">IF(ATALI[[#This Row],[//]]="","",INDEX([6]!NOTA[DISC 2],ATALI[[#This Row],[//]]-2))</f>
        <v>0.05</v>
      </c>
      <c r="Q128" s="5">
        <f ca="1">IF(ATALI[[#This Row],[//]]="","",INDEX([6]!NOTA[TOTAL],ATALI[[#This Row],[//]]-2))</f>
        <v>3375540</v>
      </c>
      <c r="R1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4" t="str">
        <f ca="1">IF(ATALI[[#This Row],[//]]="","",INDEX([6]!NOTA[NAMA BARANG],ATALI[[#This Row],[//]]-2))</f>
        <v>GEL PEN GP-330 (BLACK) JK</v>
      </c>
      <c r="V128" s="4" t="str">
        <f ca="1">LOWER(SUBSTITUTE(SUBSTITUTE(SUBSTITUTE(SUBSTITUTE(SUBSTITUTE(SUBSTITUTE(SUBSTITUTE(ATALI[[#This Row],[N.B.nota]]," ",""),"-",""),"(",""),")",""),".",""),",",""),"/",""))</f>
        <v>gelpengp330blackjk</v>
      </c>
      <c r="W128" s="4" t="s">
        <v>137</v>
      </c>
      <c r="X128" s="4" t="str">
        <f ca="1">IF(ATALI[[#This Row],[N.B.nota]]="","",ADDRESS(ROW(ATALI[QB]),COLUMN(ATALI[QB]))&amp;":"&amp;ADDRESS(ROW(),COLUMN(ATALI[QB])))</f>
        <v>$D$3:$D$128</v>
      </c>
      <c r="Y128" s="14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4"/>
      <c r="B129" s="6" t="str">
        <f>IF(ATALI[[#This Row],[N_ID]]="","",INDEX(Table1[ID],MATCH(ATALI[[#This Row],[N_ID]],Table1[N_ID],0)))</f>
        <v/>
      </c>
      <c r="C129" s="6" t="str">
        <f>IF(ATALI[[#This Row],[ID NOTA]]="","",HYPERLINK("[NOTA_.xlsx]NOTA!e"&amp;INDEX([6]!PAJAK[//],MATCH(ATALI[[#This Row],[ID NOTA]],[6]!PAJAK[ID],0)),"&gt;") )</f>
        <v/>
      </c>
      <c r="D129" s="6" t="str">
        <f>IF(ATALI[[#This Row],[ID NOTA]]="","",INDEX(Table1[QB],MATCH(ATALI[[#This Row],[ID NOTA]],Table1[ID],0)))</f>
        <v/>
      </c>
      <c r="E1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779</v>
      </c>
      <c r="F129" s="6"/>
      <c r="G129" s="3" t="str">
        <f>IF(ATALI[[#This Row],[ID NOTA]]="","",INDEX([6]!NOTA[TGL_H],MATCH(ATALI[[#This Row],[ID NOTA]],[6]!NOTA[ID],0)))</f>
        <v/>
      </c>
      <c r="H129" s="3" t="str">
        <f>IF(ATALI[[#This Row],[ID NOTA]]="","",INDEX([6]!NOTA[TGL.NOTA],MATCH(ATALI[[#This Row],[ID NOTA]],[6]!NOTA[ID],0)))</f>
        <v/>
      </c>
      <c r="I129" s="4" t="str">
        <f>IF(ATALI[[#This Row],[ID NOTA]]="","",INDEX([6]!NOTA[NO.NOTA],MATCH(ATALI[[#This Row],[ID NOTA]],[6]!NOTA[ID],0)))</f>
        <v/>
      </c>
      <c r="J129" s="4" t="s">
        <v>318</v>
      </c>
      <c r="K129" s="6">
        <f ca="1">IF(ATALI[[#This Row],[//]]="","",IF(INDEX([6]!NOTA[C],ATALI[[#This Row],[//]]-2)="","",INDEX([6]!NOTA[C],ATALI[[#This Row],[//]]-2)))</f>
        <v>1</v>
      </c>
      <c r="L129" s="6">
        <f ca="1">IF(ATALI[[#This Row],[//]]="","",INDEX([6]!NOTA[QTY],ATALI[[#This Row],[//]]-2))</f>
        <v>36</v>
      </c>
      <c r="M129" s="6" t="str">
        <f ca="1">IF(ATALI[[#This Row],[//]]="","",INDEX([6]!NOTA[STN],ATALI[[#This Row],[//]]-2))</f>
        <v>DZ</v>
      </c>
      <c r="N129" s="5">
        <f ca="1">IF(ATALI[[#This Row],[//]]="","",INDEX([6]!NOTA[HARGA SATUAN],ATALI[[#This Row],[//]]-2))</f>
        <v>41400</v>
      </c>
      <c r="O129" s="8">
        <f ca="1">IF(ATALI[[#This Row],[//]]="","",INDEX([6]!NOTA[DISC 1],ATALI[[#This Row],[//]]-2))</f>
        <v>0.125</v>
      </c>
      <c r="P129" s="8">
        <f ca="1">IF(ATALI[[#This Row],[//]]="","",INDEX([6]!NOTA[DISC 2],ATALI[[#This Row],[//]]-2))</f>
        <v>0.05</v>
      </c>
      <c r="Q129" s="5">
        <f ca="1">IF(ATALI[[#This Row],[//]]="","",INDEX([6]!NOTA[TOTAL],ATALI[[#This Row],[//]]-2))</f>
        <v>1238895</v>
      </c>
      <c r="R1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4" t="str">
        <f ca="1">IF(ATALI[[#This Row],[//]]="","",INDEX([6]!NOTA[NAMA BARANG],ATALI[[#This Row],[//]]-2))</f>
        <v>CORRECTION FLUID CF-S209 JK</v>
      </c>
      <c r="V129" s="4" t="str">
        <f ca="1">LOWER(SUBSTITUTE(SUBSTITUTE(SUBSTITUTE(SUBSTITUTE(SUBSTITUTE(SUBSTITUTE(SUBSTITUTE(ATALI[[#This Row],[N.B.nota]]," ",""),"-",""),"(",""),")",""),".",""),",",""),"/",""))</f>
        <v>correctionfluidcfs209jk</v>
      </c>
      <c r="W129" s="4" t="s">
        <v>137</v>
      </c>
      <c r="X129" s="4" t="str">
        <f ca="1">IF(ATALI[[#This Row],[N.B.nota]]="","",ADDRESS(ROW(ATALI[QB]),COLUMN(ATALI[QB]))&amp;":"&amp;ADDRESS(ROW(),COLUMN(ATALI[QB])))</f>
        <v>$D$3:$D$129</v>
      </c>
      <c r="Y129" s="14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NOTA]]="","",HYPERLINK("[NOTA_.xlsx]NOTA!e"&amp;INDEX([6]!PAJAK[//],MATCH(ATALI[[#This Row],[ID NOTA]],[6]!PAJAK[ID],0)),"&gt;") )</f>
        <v/>
      </c>
      <c r="D130" s="6" t="str">
        <f>IF(ATALI[[#This Row],[ID NOTA]]="","",INDEX(Table1[QB],MATCH(ATALI[[#This Row],[ID NOTA]],Table1[ID],0)))</f>
        <v/>
      </c>
      <c r="E1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780</v>
      </c>
      <c r="F130" s="6"/>
      <c r="G130" s="3" t="str">
        <f>IF(ATALI[[#This Row],[ID NOTA]]="","",INDEX([6]!NOTA[TGL_H],MATCH(ATALI[[#This Row],[ID NOTA]],[6]!NOTA[ID],0)))</f>
        <v/>
      </c>
      <c r="H130" s="3" t="str">
        <f>IF(ATALI[[#This Row],[ID NOTA]]="","",INDEX([6]!NOTA[TGL.NOTA],MATCH(ATALI[[#This Row],[ID NOTA]],[6]!NOTA[ID],0)))</f>
        <v/>
      </c>
      <c r="I130" s="4" t="str">
        <f>IF(ATALI[[#This Row],[ID NOTA]]="","",INDEX([6]!NOTA[NO.NOTA],MATCH(ATALI[[#This Row],[ID NOTA]],[6]!NOTA[ID],0)))</f>
        <v/>
      </c>
      <c r="J130" s="4" t="s">
        <v>319</v>
      </c>
      <c r="K130" s="6">
        <f ca="1">IF(ATALI[[#This Row],[//]]="","",IF(INDEX([6]!NOTA[C],ATALI[[#This Row],[//]]-2)="","",INDEX([6]!NOTA[C],ATALI[[#This Row],[//]]-2)))</f>
        <v>4</v>
      </c>
      <c r="L130" s="6">
        <f ca="1">IF(ATALI[[#This Row],[//]]="","",INDEX([6]!NOTA[QTY],ATALI[[#This Row],[//]]-2))</f>
        <v>576</v>
      </c>
      <c r="M130" s="6" t="str">
        <f ca="1">IF(ATALI[[#This Row],[//]]="","",INDEX([6]!NOTA[STN],ATALI[[#This Row],[//]]-2))</f>
        <v>SET</v>
      </c>
      <c r="N130" s="5">
        <f ca="1">IF(ATALI[[#This Row],[//]]="","",INDEX([6]!NOTA[HARGA SATUAN],ATALI[[#This Row],[//]]-2))</f>
        <v>22750</v>
      </c>
      <c r="O130" s="8">
        <f ca="1">IF(ATALI[[#This Row],[//]]="","",INDEX([6]!NOTA[DISC 1],ATALI[[#This Row],[//]]-2))</f>
        <v>0.125</v>
      </c>
      <c r="P130" s="8">
        <f ca="1">IF(ATALI[[#This Row],[//]]="","",INDEX([6]!NOTA[DISC 2],ATALI[[#This Row],[//]]-2))</f>
        <v>0.05</v>
      </c>
      <c r="Q130" s="5">
        <f ca="1">IF(ATALI[[#This Row],[//]]="","",INDEX([6]!NOTA[TOTAL],ATALI[[#This Row],[//]]-2))</f>
        <v>10892700</v>
      </c>
      <c r="R1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4" t="str">
        <f ca="1">IF(ATALI[[#This Row],[//]]="","",INDEX([6]!NOTA[NAMA BARANG],ATALI[[#This Row],[//]]-2))</f>
        <v>CRAYON PUTAR TWCR-12S JK</v>
      </c>
      <c r="V130" s="4" t="str">
        <f ca="1">LOWER(SUBSTITUTE(SUBSTITUTE(SUBSTITUTE(SUBSTITUTE(SUBSTITUTE(SUBSTITUTE(SUBSTITUTE(ATALI[[#This Row],[N.B.nota]]," ",""),"-",""),"(",""),")",""),".",""),",",""),"/",""))</f>
        <v>crayonputartwcr12sjk</v>
      </c>
      <c r="W130" s="4" t="s">
        <v>137</v>
      </c>
      <c r="X130" s="4" t="str">
        <f ca="1">IF(ATALI[[#This Row],[N.B.nota]]="","",ADDRESS(ROW(ATALI[QB]),COLUMN(ATALI[QB]))&amp;":"&amp;ADDRESS(ROW(),COLUMN(ATALI[QB])))</f>
        <v>$D$3:$D$130</v>
      </c>
      <c r="Y130" s="14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NOTA]]="","",HYPERLINK("[NOTA_.xlsx]NOTA!e"&amp;INDEX([6]!PAJAK[//],MATCH(ATALI[[#This Row],[ID NOTA]],[6]!PAJAK[ID],0)),"&gt;") )</f>
        <v/>
      </c>
      <c r="D131" s="6" t="str">
        <f>IF(ATALI[[#This Row],[ID NOTA]]="","",INDEX(Table1[QB],MATCH(ATALI[[#This Row],[ID NOTA]],Table1[ID],0)))</f>
        <v/>
      </c>
      <c r="E1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781</v>
      </c>
      <c r="F131" s="6"/>
      <c r="G131" s="3" t="str">
        <f>IF(ATALI[[#This Row],[ID NOTA]]="","",INDEX([6]!NOTA[TGL_H],MATCH(ATALI[[#This Row],[ID NOTA]],[6]!NOTA[ID],0)))</f>
        <v/>
      </c>
      <c r="H131" s="3" t="str">
        <f>IF(ATALI[[#This Row],[ID NOTA]]="","",INDEX([6]!NOTA[TGL.NOTA],MATCH(ATALI[[#This Row],[ID NOTA]],[6]!NOTA[ID],0)))</f>
        <v/>
      </c>
      <c r="I131" s="4" t="str">
        <f>IF(ATALI[[#This Row],[ID NOTA]]="","",INDEX([6]!NOTA[NO.NOTA],MATCH(ATALI[[#This Row],[ID NOTA]],[6]!NOTA[ID],0)))</f>
        <v/>
      </c>
      <c r="J131" s="4" t="s">
        <v>307</v>
      </c>
      <c r="K131" s="6">
        <f ca="1">IF(ATALI[[#This Row],[//]]="","",IF(INDEX([6]!NOTA[C],ATALI[[#This Row],[//]]-2)="","",INDEX([6]!NOTA[C],ATALI[[#This Row],[//]]-2)))</f>
        <v>2</v>
      </c>
      <c r="L131" s="6">
        <f ca="1">IF(ATALI[[#This Row],[//]]="","",INDEX([6]!NOTA[QTY],ATALI[[#This Row],[//]]-2))</f>
        <v>288</v>
      </c>
      <c r="M131" s="6" t="str">
        <f ca="1">IF(ATALI[[#This Row],[//]]="","",INDEX([6]!NOTA[STN],ATALI[[#This Row],[//]]-2))</f>
        <v>SET</v>
      </c>
      <c r="N131" s="5">
        <f ca="1">IF(ATALI[[#This Row],[//]]="","",INDEX([6]!NOTA[HARGA SATUAN],ATALI[[#This Row],[//]]-2))</f>
        <v>18000</v>
      </c>
      <c r="O131" s="8">
        <f ca="1">IF(ATALI[[#This Row],[//]]="","",INDEX([6]!NOTA[DISC 1],ATALI[[#This Row],[//]]-2))</f>
        <v>0.125</v>
      </c>
      <c r="P131" s="8">
        <f ca="1">IF(ATALI[[#This Row],[//]]="","",INDEX([6]!NOTA[DISC 2],ATALI[[#This Row],[//]]-2))</f>
        <v>0.05</v>
      </c>
      <c r="Q131" s="5">
        <f ca="1">IF(ATALI[[#This Row],[//]]="","",INDEX([6]!NOTA[TOTAL],ATALI[[#This Row],[//]]-2))</f>
        <v>4309200</v>
      </c>
      <c r="R1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4" t="str">
        <f ca="1">IF(ATALI[[#This Row],[//]]="","",INDEX([6]!NOTA[NAMA BARANG],ATALI[[#This Row],[//]]-2))</f>
        <v>CRAYON PUTAR TWCR-12MINI JK</v>
      </c>
      <c r="V131" s="4" t="str">
        <f ca="1">LOWER(SUBSTITUTE(SUBSTITUTE(SUBSTITUTE(SUBSTITUTE(SUBSTITUTE(SUBSTITUTE(SUBSTITUTE(ATALI[[#This Row],[N.B.nota]]," ",""),"-",""),"(",""),")",""),".",""),",",""),"/",""))</f>
        <v>crayonputartwcr12minijk</v>
      </c>
      <c r="W131" s="4" t="s">
        <v>137</v>
      </c>
      <c r="X131" s="4" t="str">
        <f ca="1">IF(ATALI[[#This Row],[N.B.nota]]="","",ADDRESS(ROW(ATALI[QB]),COLUMN(ATALI[QB]))&amp;":"&amp;ADDRESS(ROW(),COLUMN(ATALI[QB])))</f>
        <v>$D$3:$D$131</v>
      </c>
      <c r="Y131" s="14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NOTA]]="","",HYPERLINK("[NOTA_.xlsx]NOTA!e"&amp;INDEX([6]!PAJAK[//],MATCH(ATALI[[#This Row],[ID NOTA]],[6]!PAJAK[ID],0)),"&gt;") )</f>
        <v/>
      </c>
      <c r="D132" s="6" t="str">
        <f>IF(ATALI[[#This Row],[ID NOTA]]="","",INDEX(Table1[QB],MATCH(ATALI[[#This Row],[ID NOTA]],Table1[ID],0)))</f>
        <v/>
      </c>
      <c r="E1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782</v>
      </c>
      <c r="F132" s="6"/>
      <c r="G132" s="3" t="str">
        <f>IF(ATALI[[#This Row],[ID NOTA]]="","",INDEX([6]!NOTA[TGL_H],MATCH(ATALI[[#This Row],[ID NOTA]],[6]!NOTA[ID],0)))</f>
        <v/>
      </c>
      <c r="H132" s="3" t="str">
        <f>IF(ATALI[[#This Row],[ID NOTA]]="","",INDEX([6]!NOTA[TGL.NOTA],MATCH(ATALI[[#This Row],[ID NOTA]],[6]!NOTA[ID],0)))</f>
        <v/>
      </c>
      <c r="I132" s="4" t="str">
        <f>IF(ATALI[[#This Row],[ID NOTA]]="","",INDEX([6]!NOTA[NO.NOTA],MATCH(ATALI[[#This Row],[ID NOTA]],[6]!NOTA[ID],0)))</f>
        <v/>
      </c>
      <c r="J132" s="4" t="s">
        <v>255</v>
      </c>
      <c r="K132" s="6" t="str">
        <f ca="1">IF(ATALI[[#This Row],[//]]="","",IF(INDEX([6]!NOTA[C],ATALI[[#This Row],[//]]-2)="","",INDEX([6]!NOTA[C],ATALI[[#This Row],[//]]-2)))</f>
        <v/>
      </c>
      <c r="L132" s="6">
        <f ca="1">IF(ATALI[[#This Row],[//]]="","",INDEX([6]!NOTA[QTY],ATALI[[#This Row],[//]]-2))</f>
        <v>36</v>
      </c>
      <c r="M132" s="6" t="str">
        <f ca="1">IF(ATALI[[#This Row],[//]]="","",INDEX([6]!NOTA[STN],ATALI[[#This Row],[//]]-2))</f>
        <v>DZ</v>
      </c>
      <c r="N132" s="5">
        <f ca="1">IF(ATALI[[#This Row],[//]]="","",INDEX([6]!NOTA[HARGA SATUAN],ATALI[[#This Row],[//]]-2))</f>
        <v>12600</v>
      </c>
      <c r="O132" s="8">
        <f ca="1">IF(ATALI[[#This Row],[//]]="","",INDEX([6]!NOTA[DISC 1],ATALI[[#This Row],[//]]-2))</f>
        <v>0.125</v>
      </c>
      <c r="P132" s="8">
        <f ca="1">IF(ATALI[[#This Row],[//]]="","",INDEX([6]!NOTA[DISC 2],ATALI[[#This Row],[//]]-2))</f>
        <v>0.05</v>
      </c>
      <c r="Q132" s="5">
        <f ca="1">IF(ATALI[[#This Row],[//]]="","",INDEX([6]!NOTA[TOTAL],ATALI[[#This Row],[//]]-2))</f>
        <v>377055</v>
      </c>
      <c r="R13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377055</v>
      </c>
      <c r="S13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58868460</v>
      </c>
      <c r="T132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32" s="4" t="str">
        <f ca="1">IF(ATALI[[#This Row],[//]]="","",INDEX([6]!NOTA[NAMA BARANG],ATALI[[#This Row],[//]]-2))</f>
        <v>BALLPEN BP-338 VOCUS (BLACK) JK</v>
      </c>
      <c r="V132" s="4" t="str">
        <f ca="1">LOWER(SUBSTITUTE(SUBSTITUTE(SUBSTITUTE(SUBSTITUTE(SUBSTITUTE(SUBSTITUTE(SUBSTITUTE(ATALI[[#This Row],[N.B.nota]]," ",""),"-",""),"(",""),")",""),".",""),",",""),"/",""))</f>
        <v>ballpenbp338vocusblackjk</v>
      </c>
      <c r="W132" s="4" t="s">
        <v>137</v>
      </c>
      <c r="X132" s="4" t="str">
        <f ca="1">IF(ATALI[[#This Row],[N.B.nota]]="","",ADDRESS(ROW(ATALI[QB]),COLUMN(ATALI[QB]))&amp;":"&amp;ADDRESS(ROW(),COLUMN(ATALI[QB])))</f>
        <v>$D$3:$D$132</v>
      </c>
      <c r="Y132" s="14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NOTA]]="","",HYPERLINK("[NOTA_.xlsx]NOTA!e"&amp;INDEX([6]!PAJAK[//],MATCH(ATALI[[#This Row],[ID NOTA]],[6]!PAJAK[ID],0)),"&gt;") )</f>
        <v/>
      </c>
      <c r="D133" s="6" t="str">
        <f>IF(ATALI[[#This Row],[ID NOTA]]="","",INDEX(Table1[QB],MATCH(ATALI[[#This Row],[ID NOTA]],Table1[ID],0)))</f>
        <v/>
      </c>
      <c r="E1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3" s="6"/>
      <c r="G133" s="3" t="str">
        <f>IF(ATALI[[#This Row],[ID NOTA]]="","",INDEX([6]!NOTA[TGL_H],MATCH(ATALI[[#This Row],[ID NOTA]],[6]!NOTA[ID],0)))</f>
        <v/>
      </c>
      <c r="H133" s="3" t="str">
        <f>IF(ATALI[[#This Row],[ID NOTA]]="","",INDEX([6]!NOTA[TGL.NOTA],MATCH(ATALI[[#This Row],[ID NOTA]],[6]!NOTA[ID],0)))</f>
        <v/>
      </c>
      <c r="I133" s="4" t="str">
        <f>IF(ATALI[[#This Row],[ID NOTA]]="","",INDEX([6]!NOTA[NO.NOTA],MATCH(ATALI[[#This Row],[ID NOTA]],[6]!NOTA[ID],0)))</f>
        <v/>
      </c>
      <c r="J133" s="4" t="s">
        <v>136</v>
      </c>
      <c r="K133" s="6" t="str">
        <f ca="1">IF(ATALI[[#This Row],[//]]="","",IF(INDEX([6]!NOTA[C],ATALI[[#This Row],[//]]-2)="","",INDEX([6]!NOTA[C],ATALI[[#This Row],[//]]-2)))</f>
        <v/>
      </c>
      <c r="L133" s="6" t="str">
        <f ca="1">IF(ATALI[[#This Row],[//]]="","",INDEX([6]!NOTA[QTY],ATALI[[#This Row],[//]]-2))</f>
        <v/>
      </c>
      <c r="M133" s="6" t="str">
        <f ca="1">IF(ATALI[[#This Row],[//]]="","",INDEX([6]!NOTA[STN],ATALI[[#This Row],[//]]-2))</f>
        <v/>
      </c>
      <c r="N133" s="5" t="str">
        <f ca="1">IF(ATALI[[#This Row],[//]]="","",INDEX([6]!NOTA[HARGA SATUAN],ATALI[[#This Row],[//]]-2))</f>
        <v/>
      </c>
      <c r="O133" s="8" t="str">
        <f ca="1">IF(ATALI[[#This Row],[//]]="","",INDEX([6]!NOTA[DISC 1],ATALI[[#This Row],[//]]-2))</f>
        <v/>
      </c>
      <c r="P133" s="8" t="str">
        <f ca="1">IF(ATALI[[#This Row],[//]]="","",INDEX([6]!NOTA[DISC 2],ATALI[[#This Row],[//]]-2))</f>
        <v/>
      </c>
      <c r="Q133" s="5" t="str">
        <f ca="1">IF(ATALI[[#This Row],[//]]="","",INDEX([6]!NOTA[TOTAL],ATALI[[#This Row],[//]]-2))</f>
        <v/>
      </c>
      <c r="R1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Row],[//]]="","",INDEX([6]!NOTA[NAMA BARANG],ATALI[[#This Row],[//]]-2))</f>
        <v/>
      </c>
      <c r="V133" s="4" t="str">
        <f ca="1">LOWER(SUBSTITUTE(SUBSTITUTE(SUBSTITUTE(SUBSTITUTE(SUBSTITUTE(SUBSTITUTE(SUBSTITUTE(ATALI[[#This Row],[N.B.nota]]," ",""),"-",""),"(",""),")",""),".",""),",",""),"/",""))</f>
        <v/>
      </c>
      <c r="W133" s="4" t="s">
        <v>136</v>
      </c>
      <c r="X133" s="4" t="str">
        <f ca="1">IF(ATALI[[#This Row],[N.B.nota]]="","",ADDRESS(ROW(ATALI[QB]),COLUMN(ATALI[QB]))&amp;":"&amp;ADDRESS(ROW(),COLUMN(ATALI[QB])))</f>
        <v/>
      </c>
      <c r="Y133" s="14" t="str">
        <f ca="1">IF(ATALI[[#This Row],[//]]="","",HYPERLINK("[../DB.xlsx]DB!e"&amp;MATCH(ATALI[[#This Row],[concat]],[4]!db[NB NOTA_C],0)+1,"&gt;"))</f>
        <v/>
      </c>
    </row>
    <row r="134" spans="1:25" x14ac:dyDescent="0.25">
      <c r="A134" s="4" t="s">
        <v>112</v>
      </c>
      <c r="B134" s="6">
        <f ca="1">IF(ATALI[[#This Row],[N_ID]]="","",INDEX(Table1[ID],MATCH(ATALI[[#This Row],[N_ID]],Table1[N_ID],0)))</f>
        <v>160</v>
      </c>
      <c r="C134" s="6" t="str">
        <f ca="1">IF(ATALI[[#This Row],[ID NOTA]]="","",HYPERLINK("[NOTA_.xlsx]NOTA!e"&amp;INDEX([6]!PAJAK[//],MATCH(ATALI[[#This Row],[ID NOTA]],[6]!PAJAK[ID],0)),"&gt;") )</f>
        <v>&gt;</v>
      </c>
      <c r="D134" s="6">
        <f ca="1">IF(ATALI[[#This Row],[ID NOTA]]="","",INDEX(Table1[QB],MATCH(ATALI[[#This Row],[ID NOTA]],Table1[ID],0)))</f>
        <v>11</v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834</v>
      </c>
      <c r="F134" s="6"/>
      <c r="G134" s="3">
        <f ca="1">IF(ATALI[[#This Row],[ID NOTA]]="","",INDEX([6]!NOTA[TGL_H],MATCH(ATALI[[#This Row],[ID NOTA]],[6]!NOTA[ID],0)))</f>
        <v>44769</v>
      </c>
      <c r="H134" s="3">
        <f ca="1">IF(ATALI[[#This Row],[ID NOTA]]="","",INDEX([6]!NOTA[TGL.NOTA],MATCH(ATALI[[#This Row],[ID NOTA]],[6]!NOTA[ID],0)))</f>
        <v>44763</v>
      </c>
      <c r="I134" s="4" t="str">
        <f ca="1">IF(ATALI[[#This Row],[ID NOTA]]="","",INDEX([6]!NOTA[NO.NOTA],MATCH(ATALI[[#This Row],[ID NOTA]],[6]!NOTA[ID],0)))</f>
        <v>SA220710558</v>
      </c>
      <c r="J134" s="4" t="s">
        <v>316</v>
      </c>
      <c r="K134" s="6">
        <f ca="1">IF(ATALI[[#This Row],[//]]="","",IF(INDEX([6]!NOTA[C],ATALI[[#This Row],[//]]-2)="","",INDEX([6]!NOTA[C],ATALI[[#This Row],[//]]-2)))</f>
        <v>10</v>
      </c>
      <c r="L134" s="6">
        <f ca="1">IF(ATALI[[#This Row],[//]]="","",INDEX([6]!NOTA[QTY],ATALI[[#This Row],[//]]-2))</f>
        <v>300</v>
      </c>
      <c r="M134" s="6" t="str">
        <f ca="1">IF(ATALI[[#This Row],[//]]="","",INDEX([6]!NOTA[STN],ATALI[[#This Row],[//]]-2))</f>
        <v>GRS</v>
      </c>
      <c r="N134" s="5">
        <f ca="1">IF(ATALI[[#This Row],[//]]="","",INDEX([6]!NOTA[HARGA SATUAN],ATALI[[#This Row],[//]]-2))</f>
        <v>104400</v>
      </c>
      <c r="O134" s="8">
        <f ca="1">IF(ATALI[[#This Row],[//]]="","",INDEX([6]!NOTA[DISC 1],ATALI[[#This Row],[//]]-2))</f>
        <v>0.125</v>
      </c>
      <c r="P134" s="8">
        <f ca="1">IF(ATALI[[#This Row],[//]]="","",INDEX([6]!NOTA[DISC 2],ATALI[[#This Row],[//]]-2))</f>
        <v>0.05</v>
      </c>
      <c r="Q134" s="5">
        <f ca="1">IF(ATALI[[#This Row],[//]]="","",INDEX([6]!NOTA[TOTAL],ATALI[[#This Row],[//]]-2))</f>
        <v>26034750</v>
      </c>
      <c r="R1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Row],[//]]="","",INDEX([6]!NOTA[NAMA BARANG],ATALI[[#This Row],[//]]-2))</f>
        <v>PENCIL P-88 2B JK</v>
      </c>
      <c r="V134" s="4" t="str">
        <f ca="1">LOWER(SUBSTITUTE(SUBSTITUTE(SUBSTITUTE(SUBSTITUTE(SUBSTITUTE(SUBSTITUTE(SUBSTITUTE(ATALI[[#This Row],[N.B.nota]]," ",""),"-",""),"(",""),")",""),".",""),",",""),"/",""))</f>
        <v>pencilp882bjk</v>
      </c>
      <c r="W134" s="4" t="s">
        <v>137</v>
      </c>
      <c r="X134" s="4" t="str">
        <f ca="1">IF(ATALI[[#This Row],[N.B.nota]]="","",ADDRESS(ROW(ATALI[QB]),COLUMN(ATALI[QB]))&amp;":"&amp;ADDRESS(ROW(),COLUMN(ATALI[QB])))</f>
        <v>$D$3:$D$134</v>
      </c>
      <c r="Y134" s="14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NOTA]]="","",HYPERLINK("[NOTA_.xlsx]NOTA!e"&amp;INDEX([6]!PAJAK[//],MATCH(ATALI[[#This Row],[ID NOTA]],[6]!PAJAK[ID],0)),"&gt;")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835</v>
      </c>
      <c r="F135" s="6"/>
      <c r="G135" s="3" t="str">
        <f>IF(ATALI[[#This Row],[ID NOTA]]="","",INDEX([6]!NOTA[TGL_H],MATCH(ATALI[[#This Row],[ID NOTA]],[6]!NOTA[ID],0)))</f>
        <v/>
      </c>
      <c r="H135" s="3" t="str">
        <f>IF(ATALI[[#This Row],[ID NOTA]]="","",INDEX([6]!NOTA[TGL.NOTA],MATCH(ATALI[[#This Row],[ID NOTA]],[6]!NOTA[ID],0)))</f>
        <v/>
      </c>
      <c r="I135" s="4" t="str">
        <f>IF(ATALI[[#This Row],[ID NOTA]]="","",INDEX([6]!NOTA[NO.NOTA],MATCH(ATALI[[#This Row],[ID NOTA]],[6]!NOTA[ID],0)))</f>
        <v/>
      </c>
      <c r="J135" s="4" t="s">
        <v>252</v>
      </c>
      <c r="K135" s="6">
        <f ca="1">IF(ATALI[[#This Row],[//]]="","",IF(INDEX([6]!NOTA[C],ATALI[[#This Row],[//]]-2)="","",INDEX([6]!NOTA[C],ATALI[[#This Row],[//]]-2)))</f>
        <v>6</v>
      </c>
      <c r="L135" s="6">
        <f ca="1">IF(ATALI[[#This Row],[//]]="","",INDEX([6]!NOTA[QTY],ATALI[[#This Row],[//]]-2))</f>
        <v>144</v>
      </c>
      <c r="M135" s="6" t="str">
        <f ca="1">IF(ATALI[[#This Row],[//]]="","",INDEX([6]!NOTA[STN],ATALI[[#This Row],[//]]-2))</f>
        <v>PCS</v>
      </c>
      <c r="N135" s="5">
        <f ca="1">IF(ATALI[[#This Row],[//]]="","",INDEX([6]!NOTA[HARGA SATUAN],ATALI[[#This Row],[//]]-2))</f>
        <v>18800</v>
      </c>
      <c r="O135" s="8">
        <f ca="1">IF(ATALI[[#This Row],[//]]="","",INDEX([6]!NOTA[DISC 1],ATALI[[#This Row],[//]]-2))</f>
        <v>0.125</v>
      </c>
      <c r="P135" s="8">
        <f ca="1">IF(ATALI[[#This Row],[//]]="","",INDEX([6]!NOTA[DISC 2],ATALI[[#This Row],[//]]-2))</f>
        <v>0.05</v>
      </c>
      <c r="Q135" s="5">
        <f ca="1">IF(ATALI[[#This Row],[//]]="","",INDEX([6]!NOTA[TOTAL],ATALI[[#This Row],[//]]-2))</f>
        <v>2250360</v>
      </c>
      <c r="R1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Row],[//]]="","",INDEX([6]!NOTA[NAMA BARANG],ATALI[[#This Row],[//]]-2))</f>
        <v>TAPE CUTTER TD-103 JK</v>
      </c>
      <c r="V135" s="4" t="str">
        <f ca="1">LOWER(SUBSTITUTE(SUBSTITUTE(SUBSTITUTE(SUBSTITUTE(SUBSTITUTE(SUBSTITUTE(SUBSTITUTE(ATALI[[#This Row],[N.B.nota]]," ",""),"-",""),"(",""),")",""),".",""),",",""),"/",""))</f>
        <v>tapecuttertd103jk</v>
      </c>
      <c r="W135" s="4" t="s">
        <v>137</v>
      </c>
      <c r="X135" s="4" t="str">
        <f ca="1">IF(ATALI[[#This Row],[N.B.nota]]="","",ADDRESS(ROW(ATALI[QB]),COLUMN(ATALI[QB]))&amp;":"&amp;ADDRESS(ROW(),COLUMN(ATALI[QB])))</f>
        <v>$D$3:$D$135</v>
      </c>
      <c r="Y135" s="14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NOTA]]="","",HYPERLINK("[NOTA_.xlsx]NOTA!e"&amp;INDEX([6]!PAJAK[//],MATCH(ATALI[[#This Row],[ID NOTA]],[6]!PAJAK[ID],0)),"&gt;")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836</v>
      </c>
      <c r="F136" s="6"/>
      <c r="G136" s="3" t="str">
        <f>IF(ATALI[[#This Row],[ID NOTA]]="","",INDEX([6]!NOTA[TGL_H],MATCH(ATALI[[#This Row],[ID NOTA]],[6]!NOTA[ID],0)))</f>
        <v/>
      </c>
      <c r="H136" s="3" t="str">
        <f>IF(ATALI[[#This Row],[ID NOTA]]="","",INDEX([6]!NOTA[TGL.NOTA],MATCH(ATALI[[#This Row],[ID NOTA]],[6]!NOTA[ID],0)))</f>
        <v/>
      </c>
      <c r="I136" s="4" t="str">
        <f>IF(ATALI[[#This Row],[ID NOTA]]="","",INDEX([6]!NOTA[NO.NOTA],MATCH(ATALI[[#This Row],[ID NOTA]],[6]!NOTA[ID],0)))</f>
        <v/>
      </c>
      <c r="J136" s="4" t="s">
        <v>298</v>
      </c>
      <c r="K136" s="6">
        <f ca="1">IF(ATALI[[#This Row],[//]]="","",IF(INDEX([6]!NOTA[C],ATALI[[#This Row],[//]]-2)="","",INDEX([6]!NOTA[C],ATALI[[#This Row],[//]]-2)))</f>
        <v>4</v>
      </c>
      <c r="L136" s="6">
        <f ca="1">IF(ATALI[[#This Row],[//]]="","",INDEX([6]!NOTA[QTY],ATALI[[#This Row],[//]]-2))</f>
        <v>96</v>
      </c>
      <c r="M136" s="6" t="str">
        <f ca="1">IF(ATALI[[#This Row],[//]]="","",INDEX([6]!NOTA[STN],ATALI[[#This Row],[//]]-2))</f>
        <v>PCS</v>
      </c>
      <c r="N136" s="5">
        <f ca="1">IF(ATALI[[#This Row],[//]]="","",INDEX([6]!NOTA[HARGA SATUAN],ATALI[[#This Row],[//]]-2))</f>
        <v>10600</v>
      </c>
      <c r="O136" s="8">
        <f ca="1">IF(ATALI[[#This Row],[//]]="","",INDEX([6]!NOTA[DISC 1],ATALI[[#This Row],[//]]-2))</f>
        <v>0.125</v>
      </c>
      <c r="P136" s="8">
        <f ca="1">IF(ATALI[[#This Row],[//]]="","",INDEX([6]!NOTA[DISC 2],ATALI[[#This Row],[//]]-2))</f>
        <v>0.05</v>
      </c>
      <c r="Q136" s="5">
        <f ca="1">IF(ATALI[[#This Row],[//]]="","",INDEX([6]!NOTA[TOTAL],ATALI[[#This Row],[//]]-2))</f>
        <v>845880</v>
      </c>
      <c r="R1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Row],[//]]="","",INDEX([6]!NOTA[NAMA BARANG],ATALI[[#This Row],[//]]-2))</f>
        <v>TAPE CUTTER TD-102 JK</v>
      </c>
      <c r="V136" s="4" t="str">
        <f ca="1">LOWER(SUBSTITUTE(SUBSTITUTE(SUBSTITUTE(SUBSTITUTE(SUBSTITUTE(SUBSTITUTE(SUBSTITUTE(ATALI[[#This Row],[N.B.nota]]," ",""),"-",""),"(",""),")",""),".",""),",",""),"/",""))</f>
        <v>tapecuttertd102jk</v>
      </c>
      <c r="W136" s="4" t="s">
        <v>137</v>
      </c>
      <c r="X136" s="4" t="str">
        <f ca="1">IF(ATALI[[#This Row],[N.B.nota]]="","",ADDRESS(ROW(ATALI[QB]),COLUMN(ATALI[QB]))&amp;":"&amp;ADDRESS(ROW(),COLUMN(ATALI[QB])))</f>
        <v>$D$3:$D$136</v>
      </c>
      <c r="Y136" s="14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NOTA]]="","",HYPERLINK("[NOTA_.xlsx]NOTA!e"&amp;INDEX([6]!PAJAK[//],MATCH(ATALI[[#This Row],[ID NOTA]],[6]!PAJAK[ID],0)),"&gt;")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837</v>
      </c>
      <c r="F137" s="6"/>
      <c r="G137" s="3" t="str">
        <f>IF(ATALI[[#This Row],[ID NOTA]]="","",INDEX([6]!NOTA[TGL_H],MATCH(ATALI[[#This Row],[ID NOTA]],[6]!NOTA[ID],0)))</f>
        <v/>
      </c>
      <c r="H137" s="3" t="str">
        <f>IF(ATALI[[#This Row],[ID NOTA]]="","",INDEX([6]!NOTA[TGL.NOTA],MATCH(ATALI[[#This Row],[ID NOTA]],[6]!NOTA[ID],0)))</f>
        <v/>
      </c>
      <c r="I137" s="4" t="str">
        <f>IF(ATALI[[#This Row],[ID NOTA]]="","",INDEX([6]!NOTA[NO.NOTA],MATCH(ATALI[[#This Row],[ID NOTA]],[6]!NOTA[ID],0)))</f>
        <v/>
      </c>
      <c r="J137" s="4" t="s">
        <v>320</v>
      </c>
      <c r="K137" s="6">
        <f ca="1">IF(ATALI[[#This Row],[//]]="","",IF(INDEX([6]!NOTA[C],ATALI[[#This Row],[//]]-2)="","",INDEX([6]!NOTA[C],ATALI[[#This Row],[//]]-2)))</f>
        <v>6</v>
      </c>
      <c r="L137" s="6">
        <f ca="1">IF(ATALI[[#This Row],[//]]="","",INDEX([6]!NOTA[QTY],ATALI[[#This Row],[//]]-2))</f>
        <v>144</v>
      </c>
      <c r="M137" s="6" t="str">
        <f ca="1">IF(ATALI[[#This Row],[//]]="","",INDEX([6]!NOTA[STN],ATALI[[#This Row],[//]]-2))</f>
        <v>PCS</v>
      </c>
      <c r="N137" s="5">
        <f ca="1">IF(ATALI[[#This Row],[//]]="","",INDEX([6]!NOTA[HARGA SATUAN],ATALI[[#This Row],[//]]-2))</f>
        <v>21500</v>
      </c>
      <c r="O137" s="8">
        <f ca="1">IF(ATALI[[#This Row],[//]]="","",INDEX([6]!NOTA[DISC 1],ATALI[[#This Row],[//]]-2))</f>
        <v>0.125</v>
      </c>
      <c r="P137" s="8">
        <f ca="1">IF(ATALI[[#This Row],[//]]="","",INDEX([6]!NOTA[DISC 2],ATALI[[#This Row],[//]]-2))</f>
        <v>0.05</v>
      </c>
      <c r="Q137" s="5">
        <f ca="1">IF(ATALI[[#This Row],[//]]="","",INDEX([6]!NOTA[TOTAL],ATALI[[#This Row],[//]]-2))</f>
        <v>2573550</v>
      </c>
      <c r="R1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Row],[//]]="","",INDEX([6]!NOTA[NAMA BARANG],ATALI[[#This Row],[//]]-2))</f>
        <v>TAPE CUTTER TD-09N JK</v>
      </c>
      <c r="V137" s="4" t="str">
        <f ca="1">LOWER(SUBSTITUTE(SUBSTITUTE(SUBSTITUTE(SUBSTITUTE(SUBSTITUTE(SUBSTITUTE(SUBSTITUTE(ATALI[[#This Row],[N.B.nota]]," ",""),"-",""),"(",""),")",""),".",""),",",""),"/",""))</f>
        <v>tapecuttertd09njk</v>
      </c>
      <c r="W137" s="4" t="s">
        <v>137</v>
      </c>
      <c r="X137" s="4" t="str">
        <f ca="1">IF(ATALI[[#This Row],[N.B.nota]]="","",ADDRESS(ROW(ATALI[QB]),COLUMN(ATALI[QB]))&amp;":"&amp;ADDRESS(ROW(),COLUMN(ATALI[QB])))</f>
        <v>$D$3:$D$137</v>
      </c>
      <c r="Y137" s="14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NOTA]]="","",HYPERLINK("[NOTA_.xlsx]NOTA!e"&amp;INDEX([6]!PAJAK[//],MATCH(ATALI[[#This Row],[ID NOTA]],[6]!PAJAK[ID],0)),"&gt;")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838</v>
      </c>
      <c r="F138" s="6"/>
      <c r="G138" s="3" t="str">
        <f>IF(ATALI[[#This Row],[ID NOTA]]="","",INDEX([6]!NOTA[TGL_H],MATCH(ATALI[[#This Row],[ID NOTA]],[6]!NOTA[ID],0)))</f>
        <v/>
      </c>
      <c r="H138" s="3" t="str">
        <f>IF(ATALI[[#This Row],[ID NOTA]]="","",INDEX([6]!NOTA[TGL.NOTA],MATCH(ATALI[[#This Row],[ID NOTA]],[6]!NOTA[ID],0)))</f>
        <v/>
      </c>
      <c r="I138" s="4" t="str">
        <f>IF(ATALI[[#This Row],[ID NOTA]]="","",INDEX([6]!NOTA[NO.NOTA],MATCH(ATALI[[#This Row],[ID NOTA]],[6]!NOTA[ID],0)))</f>
        <v/>
      </c>
      <c r="J138" s="4" t="s">
        <v>321</v>
      </c>
      <c r="K138" s="6">
        <f ca="1">IF(ATALI[[#This Row],[//]]="","",IF(INDEX([6]!NOTA[C],ATALI[[#This Row],[//]]-2)="","",INDEX([6]!NOTA[C],ATALI[[#This Row],[//]]-2)))</f>
        <v>1</v>
      </c>
      <c r="L138" s="6">
        <f ca="1">IF(ATALI[[#This Row],[//]]="","",INDEX([6]!NOTA[QTY],ATALI[[#This Row],[//]]-2))</f>
        <v>144</v>
      </c>
      <c r="M138" s="6" t="str">
        <f ca="1">IF(ATALI[[#This Row],[//]]="","",INDEX([6]!NOTA[STN],ATALI[[#This Row],[//]]-2))</f>
        <v>DZ</v>
      </c>
      <c r="N138" s="5">
        <f ca="1">IF(ATALI[[#This Row],[//]]="","",INDEX([6]!NOTA[HARGA SATUAN],ATALI[[#This Row],[//]]-2))</f>
        <v>27600</v>
      </c>
      <c r="O138" s="8">
        <f ca="1">IF(ATALI[[#This Row],[//]]="","",INDEX([6]!NOTA[DISC 1],ATALI[[#This Row],[//]]-2))</f>
        <v>0.125</v>
      </c>
      <c r="P138" s="8">
        <f ca="1">IF(ATALI[[#This Row],[//]]="","",INDEX([6]!NOTA[DISC 2],ATALI[[#This Row],[//]]-2))</f>
        <v>0.05</v>
      </c>
      <c r="Q138" s="5">
        <f ca="1">IF(ATALI[[#This Row],[//]]="","",INDEX([6]!NOTA[TOTAL],ATALI[[#This Row],[//]]-2))</f>
        <v>3303720</v>
      </c>
      <c r="R1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4" t="str">
        <f ca="1">IF(ATALI[[#This Row],[//]]="","",INDEX([6]!NOTA[NAMA BARANG],ATALI[[#This Row],[//]]-2))</f>
        <v>GEL PEN GP-266 ITECH 2 (BLACK) JK</v>
      </c>
      <c r="V138" s="4" t="str">
        <f ca="1">LOWER(SUBSTITUTE(SUBSTITUTE(SUBSTITUTE(SUBSTITUTE(SUBSTITUTE(SUBSTITUTE(SUBSTITUTE(ATALI[[#This Row],[N.B.nota]]," ",""),"-",""),"(",""),")",""),".",""),",",""),"/",""))</f>
        <v>gelpengp266itech2blackjk</v>
      </c>
      <c r="W138" s="4" t="s">
        <v>137</v>
      </c>
      <c r="X138" s="4" t="str">
        <f ca="1">IF(ATALI[[#This Row],[N.B.nota]]="","",ADDRESS(ROW(ATALI[QB]),COLUMN(ATALI[QB]))&amp;":"&amp;ADDRESS(ROW(),COLUMN(ATALI[QB])))</f>
        <v>$D$3:$D$138</v>
      </c>
      <c r="Y138" s="14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NOTA]]="","",HYPERLINK("[NOTA_.xlsx]NOTA!e"&amp;INDEX([6]!PAJAK[//],MATCH(ATALI[[#This Row],[ID NOTA]],[6]!PAJAK[ID],0)),"&gt;") )</f>
        <v/>
      </c>
      <c r="D139" s="6" t="str">
        <f>IF(ATALI[[#This Row],[ID NOTA]]="","",INDEX(Table1[QB],MATCH(ATALI[[#This Row],[ID NOTA]],Table1[ID],0)))</f>
        <v/>
      </c>
      <c r="E1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839</v>
      </c>
      <c r="F139" s="6"/>
      <c r="G139" s="3" t="str">
        <f>IF(ATALI[[#This Row],[ID NOTA]]="","",INDEX([6]!NOTA[TGL_H],MATCH(ATALI[[#This Row],[ID NOTA]],[6]!NOTA[ID],0)))</f>
        <v/>
      </c>
      <c r="H139" s="3" t="str">
        <f>IF(ATALI[[#This Row],[ID NOTA]]="","",INDEX([6]!NOTA[TGL.NOTA],MATCH(ATALI[[#This Row],[ID NOTA]],[6]!NOTA[ID],0)))</f>
        <v/>
      </c>
      <c r="I139" s="4" t="str">
        <f>IF(ATALI[[#This Row],[ID NOTA]]="","",INDEX([6]!NOTA[NO.NOTA],MATCH(ATALI[[#This Row],[ID NOTA]],[6]!NOTA[ID],0)))</f>
        <v/>
      </c>
      <c r="J139" s="4" t="s">
        <v>322</v>
      </c>
      <c r="K139" s="6">
        <f ca="1">IF(ATALI[[#This Row],[//]]="","",IF(INDEX([6]!NOTA[C],ATALI[[#This Row],[//]]-2)="","",INDEX([6]!NOTA[C],ATALI[[#This Row],[//]]-2)))</f>
        <v>1</v>
      </c>
      <c r="L139" s="6">
        <f ca="1">IF(ATALI[[#This Row],[//]]="","",INDEX([6]!NOTA[QTY],ATALI[[#This Row],[//]]-2))</f>
        <v>144</v>
      </c>
      <c r="M139" s="6" t="str">
        <f ca="1">IF(ATALI[[#This Row],[//]]="","",INDEX([6]!NOTA[STN],ATALI[[#This Row],[//]]-2))</f>
        <v>DZ</v>
      </c>
      <c r="N139" s="5">
        <f ca="1">IF(ATALI[[#This Row],[//]]="","",INDEX([6]!NOTA[HARGA SATUAN],ATALI[[#This Row],[//]]-2))</f>
        <v>27600</v>
      </c>
      <c r="O139" s="8">
        <f ca="1">IF(ATALI[[#This Row],[//]]="","",INDEX([6]!NOTA[DISC 1],ATALI[[#This Row],[//]]-2))</f>
        <v>0.125</v>
      </c>
      <c r="P139" s="8">
        <f ca="1">IF(ATALI[[#This Row],[//]]="","",INDEX([6]!NOTA[DISC 2],ATALI[[#This Row],[//]]-2))</f>
        <v>0.05</v>
      </c>
      <c r="Q139" s="5">
        <f ca="1">IF(ATALI[[#This Row],[//]]="","",INDEX([6]!NOTA[TOTAL],ATALI[[#This Row],[//]]-2))</f>
        <v>3303720</v>
      </c>
      <c r="R1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Row],[//]]="","",INDEX([6]!NOTA[NAMA BARANG],ATALI[[#This Row],[//]]-2))</f>
        <v>GEL PEN GP-266 ITECH 2 (BLUE) JK</v>
      </c>
      <c r="V139" s="4" t="str">
        <f ca="1">LOWER(SUBSTITUTE(SUBSTITUTE(SUBSTITUTE(SUBSTITUTE(SUBSTITUTE(SUBSTITUTE(SUBSTITUTE(ATALI[[#This Row],[N.B.nota]]," ",""),"-",""),"(",""),")",""),".",""),",",""),"/",""))</f>
        <v>gelpengp266itech2bluejk</v>
      </c>
      <c r="W139" s="4" t="s">
        <v>137</v>
      </c>
      <c r="X139" s="4" t="str">
        <f ca="1">IF(ATALI[[#This Row],[N.B.nota]]="","",ADDRESS(ROW(ATALI[QB]),COLUMN(ATALI[QB]))&amp;":"&amp;ADDRESS(ROW(),COLUMN(ATALI[QB])))</f>
        <v>$D$3:$D$139</v>
      </c>
      <c r="Y139" s="14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NOTA]]="","",HYPERLINK("[NOTA_.xlsx]NOTA!e"&amp;INDEX([6]!PAJAK[//],MATCH(ATALI[[#This Row],[ID NOTA]],[6]!PAJAK[ID],0)),"&gt;") )</f>
        <v/>
      </c>
      <c r="D140" s="6" t="str">
        <f>IF(ATALI[[#This Row],[ID NOTA]]="","",INDEX(Table1[QB],MATCH(ATALI[[#This Row],[ID NOTA]],Table1[ID],0)))</f>
        <v/>
      </c>
      <c r="E1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840</v>
      </c>
      <c r="F140" s="6"/>
      <c r="G140" s="3" t="str">
        <f>IF(ATALI[[#This Row],[ID NOTA]]="","",INDEX([6]!NOTA[TGL_H],MATCH(ATALI[[#This Row],[ID NOTA]],[6]!NOTA[ID],0)))</f>
        <v/>
      </c>
      <c r="H140" s="3" t="str">
        <f>IF(ATALI[[#This Row],[ID NOTA]]="","",INDEX([6]!NOTA[TGL.NOTA],MATCH(ATALI[[#This Row],[ID NOTA]],[6]!NOTA[ID],0)))</f>
        <v/>
      </c>
      <c r="I140" s="4" t="str">
        <f>IF(ATALI[[#This Row],[ID NOTA]]="","",INDEX([6]!NOTA[NO.NOTA],MATCH(ATALI[[#This Row],[ID NOTA]],[6]!NOTA[ID],0)))</f>
        <v/>
      </c>
      <c r="J140" s="4" t="s">
        <v>265</v>
      </c>
      <c r="K140" s="6">
        <f ca="1">IF(ATALI[[#This Row],[//]]="","",IF(INDEX([6]!NOTA[C],ATALI[[#This Row],[//]]-2)="","",INDEX([6]!NOTA[C],ATALI[[#This Row],[//]]-2)))</f>
        <v>1</v>
      </c>
      <c r="L140" s="6">
        <f ca="1">IF(ATALI[[#This Row],[//]]="","",INDEX([6]!NOTA[QTY],ATALI[[#This Row],[//]]-2))</f>
        <v>768</v>
      </c>
      <c r="M140" s="6" t="str">
        <f ca="1">IF(ATALI[[#This Row],[//]]="","",INDEX([6]!NOTA[STN],ATALI[[#This Row],[//]]-2))</f>
        <v>PCS</v>
      </c>
      <c r="N140" s="5">
        <f ca="1">IF(ATALI[[#This Row],[//]]="","",INDEX([6]!NOTA[HARGA SATUAN],ATALI[[#This Row],[//]]-2))</f>
        <v>2200</v>
      </c>
      <c r="O140" s="8">
        <f ca="1">IF(ATALI[[#This Row],[//]]="","",INDEX([6]!NOTA[DISC 1],ATALI[[#This Row],[//]]-2))</f>
        <v>0.125</v>
      </c>
      <c r="P140" s="8">
        <f ca="1">IF(ATALI[[#This Row],[//]]="","",INDEX([6]!NOTA[DISC 2],ATALI[[#This Row],[//]]-2))</f>
        <v>0.05</v>
      </c>
      <c r="Q140" s="5">
        <f ca="1">IF(ATALI[[#This Row],[//]]="","",INDEX([6]!NOTA[TOTAL],ATALI[[#This Row],[//]]-2))</f>
        <v>1404480</v>
      </c>
      <c r="R1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Row],[//]]="","",INDEX([6]!NOTA[NAMA BARANG],ATALI[[#This Row],[//]]-2))</f>
        <v>GLUE STICK GS-09, 8 GRAM JK</v>
      </c>
      <c r="V140" s="4" t="str">
        <f ca="1">LOWER(SUBSTITUTE(SUBSTITUTE(SUBSTITUTE(SUBSTITUTE(SUBSTITUTE(SUBSTITUTE(SUBSTITUTE(ATALI[[#This Row],[N.B.nota]]," ",""),"-",""),"(",""),")",""),".",""),",",""),"/",""))</f>
        <v>gluestickgs098gramjk</v>
      </c>
      <c r="W140" s="4" t="s">
        <v>137</v>
      </c>
      <c r="X140" s="4" t="str">
        <f ca="1">IF(ATALI[[#This Row],[N.B.nota]]="","",ADDRESS(ROW(ATALI[QB]),COLUMN(ATALI[QB]))&amp;":"&amp;ADDRESS(ROW(),COLUMN(ATALI[QB])))</f>
        <v>$D$3:$D$140</v>
      </c>
      <c r="Y140" s="14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6" t="str">
        <f>IF(ATALI[[#This Row],[N_ID]]="","",INDEX(Table1[ID],MATCH(ATALI[[#This Row],[N_ID]],Table1[N_ID],0)))</f>
        <v/>
      </c>
      <c r="C141" s="6" t="str">
        <f>IF(ATALI[[#This Row],[ID NOTA]]="","",HYPERLINK("[NOTA_.xlsx]NOTA!e"&amp;INDEX([6]!PAJAK[//],MATCH(ATALI[[#This Row],[ID NOTA]],[6]!PAJAK[ID],0)),"&gt;") )</f>
        <v/>
      </c>
      <c r="D141" s="6" t="str">
        <f>IF(ATALI[[#This Row],[ID NOTA]]="","",INDEX(Table1[QB],MATCH(ATALI[[#This Row],[ID NOTA]],Table1[ID],0)))</f>
        <v/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841</v>
      </c>
      <c r="F141" s="6"/>
      <c r="G141" s="3" t="str">
        <f>IF(ATALI[[#This Row],[ID NOTA]]="","",INDEX([6]!NOTA[TGL_H],MATCH(ATALI[[#This Row],[ID NOTA]],[6]!NOTA[ID],0)))</f>
        <v/>
      </c>
      <c r="H141" s="3" t="str">
        <f>IF(ATALI[[#This Row],[ID NOTA]]="","",INDEX([6]!NOTA[TGL.NOTA],MATCH(ATALI[[#This Row],[ID NOTA]],[6]!NOTA[ID],0)))</f>
        <v/>
      </c>
      <c r="I141" s="4" t="str">
        <f>IF(ATALI[[#This Row],[ID NOTA]]="","",INDEX([6]!NOTA[NO.NOTA],MATCH(ATALI[[#This Row],[ID NOTA]],[6]!NOTA[ID],0)))</f>
        <v/>
      </c>
      <c r="J141" s="4" t="s">
        <v>323</v>
      </c>
      <c r="K141" s="6">
        <f ca="1">IF(ATALI[[#This Row],[//]]="","",IF(INDEX([6]!NOTA[C],ATALI[[#This Row],[//]]-2)="","",INDEX([6]!NOTA[C],ATALI[[#This Row],[//]]-2)))</f>
        <v>1</v>
      </c>
      <c r="L141" s="6">
        <f ca="1">IF(ATALI[[#This Row],[//]]="","",INDEX([6]!NOTA[QTY],ATALI[[#This Row],[//]]-2))</f>
        <v>648</v>
      </c>
      <c r="M141" s="6" t="str">
        <f ca="1">IF(ATALI[[#This Row],[//]]="","",INDEX([6]!NOTA[STN],ATALI[[#This Row],[//]]-2))</f>
        <v>PCS</v>
      </c>
      <c r="N141" s="5">
        <f ca="1">IF(ATALI[[#This Row],[//]]="","",INDEX([6]!NOTA[HARGA SATUAN],ATALI[[#This Row],[//]]-2))</f>
        <v>3400</v>
      </c>
      <c r="O141" s="8">
        <f ca="1">IF(ATALI[[#This Row],[//]]="","",INDEX([6]!NOTA[DISC 1],ATALI[[#This Row],[//]]-2))</f>
        <v>0.125</v>
      </c>
      <c r="P141" s="8">
        <f ca="1">IF(ATALI[[#This Row],[//]]="","",INDEX([6]!NOTA[DISC 2],ATALI[[#This Row],[//]]-2))</f>
        <v>0.05</v>
      </c>
      <c r="Q141" s="5">
        <f ca="1">IF(ATALI[[#This Row],[//]]="","",INDEX([6]!NOTA[TOTAL],ATALI[[#This Row],[//]]-2))</f>
        <v>1831410</v>
      </c>
      <c r="R1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Row],[//]]="","",INDEX([6]!NOTA[NAMA BARANG],ATALI[[#This Row],[//]]-2))</f>
        <v>GLUE STICK GS-15 JK</v>
      </c>
      <c r="V141" s="4" t="str">
        <f ca="1">LOWER(SUBSTITUTE(SUBSTITUTE(SUBSTITUTE(SUBSTITUTE(SUBSTITUTE(SUBSTITUTE(SUBSTITUTE(ATALI[[#This Row],[N.B.nota]]," ",""),"-",""),"(",""),")",""),".",""),",",""),"/",""))</f>
        <v>gluestickgs15jk</v>
      </c>
      <c r="W141" s="4" t="s">
        <v>137</v>
      </c>
      <c r="X141" s="4" t="str">
        <f ca="1">IF(ATALI[[#This Row],[N.B.nota]]="","",ADDRESS(ROW(ATALI[QB]),COLUMN(ATALI[QB]))&amp;":"&amp;ADDRESS(ROW(),COLUMN(ATALI[QB])))</f>
        <v>$D$3:$D$141</v>
      </c>
      <c r="Y141" s="14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NOTA]]="","",HYPERLINK("[NOTA_.xlsx]NOTA!e"&amp;INDEX([6]!PAJAK[//],MATCH(ATALI[[#This Row],[ID NOTA]],[6]!PAJAK[ID],0)),"&gt;")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842</v>
      </c>
      <c r="F142" s="6"/>
      <c r="G142" s="3" t="str">
        <f>IF(ATALI[[#This Row],[ID NOTA]]="","",INDEX([6]!NOTA[TGL_H],MATCH(ATALI[[#This Row],[ID NOTA]],[6]!NOTA[ID],0)))</f>
        <v/>
      </c>
      <c r="H142" s="3" t="str">
        <f>IF(ATALI[[#This Row],[ID NOTA]]="","",INDEX([6]!NOTA[TGL.NOTA],MATCH(ATALI[[#This Row],[ID NOTA]],[6]!NOTA[ID],0)))</f>
        <v/>
      </c>
      <c r="I142" s="4" t="str">
        <f>IF(ATALI[[#This Row],[ID NOTA]]="","",INDEX([6]!NOTA[NO.NOTA],MATCH(ATALI[[#This Row],[ID NOTA]],[6]!NOTA[ID],0)))</f>
        <v/>
      </c>
      <c r="J142" s="4" t="s">
        <v>324</v>
      </c>
      <c r="K142" s="6">
        <f ca="1">IF(ATALI[[#This Row],[//]]="","",IF(INDEX([6]!NOTA[C],ATALI[[#This Row],[//]]-2)="","",INDEX([6]!NOTA[C],ATALI[[#This Row],[//]]-2)))</f>
        <v>1</v>
      </c>
      <c r="L142" s="6">
        <f ca="1">IF(ATALI[[#This Row],[//]]="","",INDEX([6]!NOTA[QTY],ATALI[[#This Row],[//]]-2))</f>
        <v>432</v>
      </c>
      <c r="M142" s="6" t="str">
        <f ca="1">IF(ATALI[[#This Row],[//]]="","",INDEX([6]!NOTA[STN],ATALI[[#This Row],[//]]-2))</f>
        <v>PCS</v>
      </c>
      <c r="N142" s="5">
        <f ca="1">IF(ATALI[[#This Row],[//]]="","",INDEX([6]!NOTA[HARGA SATUAN],ATALI[[#This Row],[//]]-2))</f>
        <v>4600</v>
      </c>
      <c r="O142" s="8">
        <f ca="1">IF(ATALI[[#This Row],[//]]="","",INDEX([6]!NOTA[DISC 1],ATALI[[#This Row],[//]]-2))</f>
        <v>0.125</v>
      </c>
      <c r="P142" s="8">
        <f ca="1">IF(ATALI[[#This Row],[//]]="","",INDEX([6]!NOTA[DISC 2],ATALI[[#This Row],[//]]-2))</f>
        <v>0.05</v>
      </c>
      <c r="Q142" s="5">
        <f ca="1">IF(ATALI[[#This Row],[//]]="","",INDEX([6]!NOTA[TOTAL],ATALI[[#This Row],[//]]-2))</f>
        <v>1651860</v>
      </c>
      <c r="R1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Row],[//]]="","",INDEX([6]!NOTA[NAMA BARANG],ATALI[[#This Row],[//]]-2))</f>
        <v>GLUE STICK GS-25 JK</v>
      </c>
      <c r="V142" s="4" t="str">
        <f ca="1">LOWER(SUBSTITUTE(SUBSTITUTE(SUBSTITUTE(SUBSTITUTE(SUBSTITUTE(SUBSTITUTE(SUBSTITUTE(ATALI[[#This Row],[N.B.nota]]," ",""),"-",""),"(",""),")",""),".",""),",",""),"/",""))</f>
        <v>gluestickgs25jk</v>
      </c>
      <c r="W142" s="4" t="s">
        <v>137</v>
      </c>
      <c r="X142" s="4" t="str">
        <f ca="1">IF(ATALI[[#This Row],[N.B.nota]]="","",ADDRESS(ROW(ATALI[QB]),COLUMN(ATALI[QB]))&amp;":"&amp;ADDRESS(ROW(),COLUMN(ATALI[QB])))</f>
        <v>$D$3:$D$142</v>
      </c>
      <c r="Y142" s="14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NOTA]]="","",HYPERLINK("[NOTA_.xlsx]NOTA!e"&amp;INDEX([6]!PAJAK[//],MATCH(ATALI[[#This Row],[ID NOTA]],[6]!PAJAK[ID],0)),"&gt;")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843</v>
      </c>
      <c r="F143" s="6"/>
      <c r="G143" s="3" t="str">
        <f>IF(ATALI[[#This Row],[ID NOTA]]="","",INDEX([6]!NOTA[TGL_H],MATCH(ATALI[[#This Row],[ID NOTA]],[6]!NOTA[ID],0)))</f>
        <v/>
      </c>
      <c r="H143" s="3" t="str">
        <f>IF(ATALI[[#This Row],[ID NOTA]]="","",INDEX([6]!NOTA[TGL.NOTA],MATCH(ATALI[[#This Row],[ID NOTA]],[6]!NOTA[ID],0)))</f>
        <v/>
      </c>
      <c r="I143" s="4" t="str">
        <f>IF(ATALI[[#This Row],[ID NOTA]]="","",INDEX([6]!NOTA[NO.NOTA],MATCH(ATALI[[#This Row],[ID NOTA]],[6]!NOTA[ID],0)))</f>
        <v/>
      </c>
      <c r="J143" s="4" t="s">
        <v>325</v>
      </c>
      <c r="K143" s="6">
        <f ca="1">IF(ATALI[[#This Row],[//]]="","",IF(INDEX([6]!NOTA[C],ATALI[[#This Row],[//]]-2)="","",INDEX([6]!NOTA[C],ATALI[[#This Row],[//]]-2)))</f>
        <v>1</v>
      </c>
      <c r="L143" s="6">
        <f ca="1">IF(ATALI[[#This Row],[//]]="","",INDEX([6]!NOTA[QTY],ATALI[[#This Row],[//]]-2))</f>
        <v>288</v>
      </c>
      <c r="M143" s="6" t="str">
        <f ca="1">IF(ATALI[[#This Row],[//]]="","",INDEX([6]!NOTA[STN],ATALI[[#This Row],[//]]-2))</f>
        <v>SET</v>
      </c>
      <c r="N143" s="5">
        <f ca="1">IF(ATALI[[#This Row],[//]]="","",INDEX([6]!NOTA[HARGA SATUAN],ATALI[[#This Row],[//]]-2))</f>
        <v>6700</v>
      </c>
      <c r="O143" s="8">
        <f ca="1">IF(ATALI[[#This Row],[//]]="","",INDEX([6]!NOTA[DISC 1],ATALI[[#This Row],[//]]-2))</f>
        <v>0.125</v>
      </c>
      <c r="P143" s="8">
        <f ca="1">IF(ATALI[[#This Row],[//]]="","",INDEX([6]!NOTA[DISC 2],ATALI[[#This Row],[//]]-2))</f>
        <v>0.05</v>
      </c>
      <c r="Q143" s="5">
        <f ca="1">IF(ATALI[[#This Row],[//]]="","",INDEX([6]!NOTA[TOTAL],ATALI[[#This Row],[//]]-2))</f>
        <v>1603980</v>
      </c>
      <c r="R1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Row],[//]]="","",INDEX([6]!NOTA[NAMA BARANG],ATALI[[#This Row],[//]]-2))</f>
        <v>COLOR PENCIL CP-S12 JK</v>
      </c>
      <c r="V143" s="4" t="str">
        <f ca="1">LOWER(SUBSTITUTE(SUBSTITUTE(SUBSTITUTE(SUBSTITUTE(SUBSTITUTE(SUBSTITUTE(SUBSTITUTE(ATALI[[#This Row],[N.B.nota]]," ",""),"-",""),"(",""),")",""),".",""),",",""),"/",""))</f>
        <v>colorpencilcps12jk</v>
      </c>
      <c r="W143" s="4" t="s">
        <v>137</v>
      </c>
      <c r="X143" s="4" t="str">
        <f ca="1">IF(ATALI[[#This Row],[N.B.nota]]="","",ADDRESS(ROW(ATALI[QB]),COLUMN(ATALI[QB]))&amp;":"&amp;ADDRESS(ROW(),COLUMN(ATALI[QB])))</f>
        <v>$D$3:$D$143</v>
      </c>
      <c r="Y143" s="14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NOTA]]="","",HYPERLINK("[NOTA_.xlsx]NOTA!e"&amp;INDEX([6]!PAJAK[//],MATCH(ATALI[[#This Row],[ID NOTA]],[6]!PAJAK[ID],0)),"&gt;") )</f>
        <v/>
      </c>
      <c r="D144" s="6" t="str">
        <f>IF(ATALI[[#This Row],[ID NOTA]]="","",INDEX(Table1[QB],MATCH(ATALI[[#This Row],[ID NOTA]],Table1[ID],0)))</f>
        <v/>
      </c>
      <c r="E1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844</v>
      </c>
      <c r="F144" s="6"/>
      <c r="G144" s="3" t="str">
        <f>IF(ATALI[[#This Row],[ID NOTA]]="","",INDEX([6]!NOTA[TGL_H],MATCH(ATALI[[#This Row],[ID NOTA]],[6]!NOTA[ID],0)))</f>
        <v/>
      </c>
      <c r="H144" s="3" t="str">
        <f>IF(ATALI[[#This Row],[ID NOTA]]="","",INDEX([6]!NOTA[TGL.NOTA],MATCH(ATALI[[#This Row],[ID NOTA]],[6]!NOTA[ID],0)))</f>
        <v/>
      </c>
      <c r="I144" s="4" t="str">
        <f>IF(ATALI[[#This Row],[ID NOTA]]="","",INDEX([6]!NOTA[NO.NOTA],MATCH(ATALI[[#This Row],[ID NOTA]],[6]!NOTA[ID],0)))</f>
        <v/>
      </c>
      <c r="J144" s="4" t="s">
        <v>326</v>
      </c>
      <c r="K144" s="6">
        <f ca="1">IF(ATALI[[#This Row],[//]]="","",IF(INDEX([6]!NOTA[C],ATALI[[#This Row],[//]]-2)="","",INDEX([6]!NOTA[C],ATALI[[#This Row],[//]]-2)))</f>
        <v>1</v>
      </c>
      <c r="L144" s="6">
        <f ca="1">IF(ATALI[[#This Row],[//]]="","",INDEX([6]!NOTA[QTY],ATALI[[#This Row],[//]]-2))</f>
        <v>144</v>
      </c>
      <c r="M144" s="6" t="str">
        <f ca="1">IF(ATALI[[#This Row],[//]]="","",INDEX([6]!NOTA[STN],ATALI[[#This Row],[//]]-2))</f>
        <v>SET</v>
      </c>
      <c r="N144" s="5">
        <f ca="1">IF(ATALI[[#This Row],[//]]="","",INDEX([6]!NOTA[HARGA SATUAN],ATALI[[#This Row],[//]]-2))</f>
        <v>13800</v>
      </c>
      <c r="O144" s="8">
        <f ca="1">IF(ATALI[[#This Row],[//]]="","",INDEX([6]!NOTA[DISC 1],ATALI[[#This Row],[//]]-2))</f>
        <v>0.125</v>
      </c>
      <c r="P144" s="8">
        <f ca="1">IF(ATALI[[#This Row],[//]]="","",INDEX([6]!NOTA[DISC 2],ATALI[[#This Row],[//]]-2))</f>
        <v>0.05</v>
      </c>
      <c r="Q144" s="5">
        <f ca="1">IF(ATALI[[#This Row],[//]]="","",INDEX([6]!NOTA[TOTAL],ATALI[[#This Row],[//]]-2))</f>
        <v>1651860</v>
      </c>
      <c r="R14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4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46455570</v>
      </c>
      <c r="T1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Row],[//]]="","",INDEX([6]!NOTA[NAMA BARANG],ATALI[[#This Row],[//]]-2))</f>
        <v>COLOR PENCIL CP-S24 JK</v>
      </c>
      <c r="V144" s="4" t="str">
        <f ca="1">LOWER(SUBSTITUTE(SUBSTITUTE(SUBSTITUTE(SUBSTITUTE(SUBSTITUTE(SUBSTITUTE(SUBSTITUTE(ATALI[[#This Row],[N.B.nota]]," ",""),"-",""),"(",""),")",""),".",""),",",""),"/",""))</f>
        <v>colorpencilcps24jk</v>
      </c>
      <c r="W144" s="4" t="s">
        <v>137</v>
      </c>
      <c r="X144" s="4" t="str">
        <f ca="1">IF(ATALI[[#This Row],[N.B.nota]]="","",ADDRESS(ROW(ATALI[QB]),COLUMN(ATALI[QB]))&amp;":"&amp;ADDRESS(ROW(),COLUMN(ATALI[QB])))</f>
        <v>$D$3:$D$144</v>
      </c>
      <c r="Y144" s="14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6" t="str">
        <f>IF(ATALI[[#This Row],[N_ID]]="","",INDEX(Table1[ID],MATCH(ATALI[[#This Row],[N_ID]],Table1[N_ID],0)))</f>
        <v/>
      </c>
      <c r="C145" s="6" t="str">
        <f>IF(ATALI[[#This Row],[ID NOTA]]="","",HYPERLINK("[NOTA_.xlsx]NOTA!e"&amp;INDEX([6]!PAJAK[//],MATCH(ATALI[[#This Row],[ID NOTA]],[6]!PAJAK[ID],0)),"&gt;") )</f>
        <v/>
      </c>
      <c r="D145" s="6" t="str">
        <f>IF(ATALI[[#This Row],[ID NOTA]]="","",INDEX(Table1[QB],MATCH(ATALI[[#This Row],[ID NOTA]],Table1[ID],0)))</f>
        <v/>
      </c>
      <c r="E1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5" s="6"/>
      <c r="G145" s="3" t="str">
        <f>IF(ATALI[[#This Row],[ID NOTA]]="","",INDEX([6]!NOTA[TGL_H],MATCH(ATALI[[#This Row],[ID NOTA]],[6]!NOTA[ID],0)))</f>
        <v/>
      </c>
      <c r="H145" s="3" t="str">
        <f>IF(ATALI[[#This Row],[ID NOTA]]="","",INDEX([6]!NOTA[TGL.NOTA],MATCH(ATALI[[#This Row],[ID NOTA]],[6]!NOTA[ID],0)))</f>
        <v/>
      </c>
      <c r="I145" s="4" t="str">
        <f>IF(ATALI[[#This Row],[ID NOTA]]="","",INDEX([6]!NOTA[NO.NOTA],MATCH(ATALI[[#This Row],[ID NOTA]],[6]!NOTA[ID],0)))</f>
        <v/>
      </c>
      <c r="J145" s="4" t="s">
        <v>136</v>
      </c>
      <c r="K145" s="6" t="str">
        <f ca="1">IF(ATALI[[#This Row],[//]]="","",IF(INDEX([6]!NOTA[C],ATALI[[#This Row],[//]]-2)="","",INDEX([6]!NOTA[C],ATALI[[#This Row],[//]]-2)))</f>
        <v/>
      </c>
      <c r="L145" s="6" t="str">
        <f ca="1">IF(ATALI[[#This Row],[//]]="","",INDEX([6]!NOTA[QTY],ATALI[[#This Row],[//]]-2))</f>
        <v/>
      </c>
      <c r="M145" s="6" t="str">
        <f ca="1">IF(ATALI[[#This Row],[//]]="","",INDEX([6]!NOTA[STN],ATALI[[#This Row],[//]]-2))</f>
        <v/>
      </c>
      <c r="N145" s="5" t="str">
        <f ca="1">IF(ATALI[[#This Row],[//]]="","",INDEX([6]!NOTA[HARGA SATUAN],ATALI[[#This Row],[//]]-2))</f>
        <v/>
      </c>
      <c r="O145" s="8" t="str">
        <f ca="1">IF(ATALI[[#This Row],[//]]="","",INDEX([6]!NOTA[DISC 1],ATALI[[#This Row],[//]]-2))</f>
        <v/>
      </c>
      <c r="P145" s="8" t="str">
        <f ca="1">IF(ATALI[[#This Row],[//]]="","",INDEX([6]!NOTA[DISC 2],ATALI[[#This Row],[//]]-2))</f>
        <v/>
      </c>
      <c r="Q145" s="5" t="str">
        <f ca="1">IF(ATALI[[#This Row],[//]]="","",INDEX([6]!NOTA[TOTAL],ATALI[[#This Row],[//]]-2))</f>
        <v/>
      </c>
      <c r="R1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Row],[//]]="","",INDEX([6]!NOTA[NAMA BARANG],ATALI[[#This Row],[//]]-2))</f>
        <v/>
      </c>
      <c r="V145" s="4" t="str">
        <f ca="1">LOWER(SUBSTITUTE(SUBSTITUTE(SUBSTITUTE(SUBSTITUTE(SUBSTITUTE(SUBSTITUTE(SUBSTITUTE(ATALI[[#This Row],[N.B.nota]]," ",""),"-",""),"(",""),")",""),".",""),",",""),"/",""))</f>
        <v/>
      </c>
      <c r="W145" s="4" t="s">
        <v>136</v>
      </c>
      <c r="X145" s="4" t="str">
        <f ca="1">IF(ATALI[[#This Row],[N.B.nota]]="","",ADDRESS(ROW(ATALI[QB]),COLUMN(ATALI[QB]))&amp;":"&amp;ADDRESS(ROW(),COLUMN(ATALI[QB])))</f>
        <v/>
      </c>
      <c r="Y145" s="14" t="str">
        <f ca="1">IF(ATALI[[#This Row],[//]]="","",HYPERLINK("[../DB.xlsx]DB!e"&amp;MATCH(ATALI[[#This Row],[concat]],[4]!db[NB NOTA_C],0)+1,"&gt;"))</f>
        <v/>
      </c>
    </row>
    <row r="146" spans="1:25" x14ac:dyDescent="0.25">
      <c r="A146" s="4" t="s">
        <v>111</v>
      </c>
      <c r="B146" s="6">
        <f ca="1">IF(ATALI[[#This Row],[N_ID]]="","",INDEX(Table1[ID],MATCH(ATALI[[#This Row],[N_ID]],Table1[N_ID],0)))</f>
        <v>158</v>
      </c>
      <c r="C146" s="6" t="str">
        <f ca="1">IF(ATALI[[#This Row],[ID NOTA]]="","",HYPERLINK("[NOTA_.xlsx]NOTA!e"&amp;INDEX([6]!PAJAK[//],MATCH(ATALI[[#This Row],[ID NOTA]],[6]!PAJAK[ID],0)),"&gt;") )</f>
        <v>&gt;</v>
      </c>
      <c r="D146" s="6">
        <f ca="1">IF(ATALI[[#This Row],[ID NOTA]]="","",INDEX(Table1[QB],MATCH(ATALI[[#This Row],[ID NOTA]],Table1[ID],0)))</f>
        <v>11</v>
      </c>
      <c r="E1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810</v>
      </c>
      <c r="F146" s="6"/>
      <c r="G146" s="3">
        <f ca="1">IF(ATALI[[#This Row],[ID NOTA]]="","",INDEX([6]!NOTA[TGL_H],MATCH(ATALI[[#This Row],[ID NOTA]],[6]!NOTA[ID],0)))</f>
        <v>44769</v>
      </c>
      <c r="H146" s="3">
        <f ca="1">IF(ATALI[[#This Row],[ID NOTA]]="","",INDEX([6]!NOTA[TGL.NOTA],MATCH(ATALI[[#This Row],[ID NOTA]],[6]!NOTA[ID],0)))</f>
        <v>44763</v>
      </c>
      <c r="I146" s="4" t="str">
        <f ca="1">IF(ATALI[[#This Row],[ID NOTA]]="","",INDEX([6]!NOTA[NO.NOTA],MATCH(ATALI[[#This Row],[ID NOTA]],[6]!NOTA[ID],0)))</f>
        <v>SA220710559</v>
      </c>
      <c r="J146" s="4" t="s">
        <v>283</v>
      </c>
      <c r="K146" s="6" t="str">
        <f ca="1">IF(ATALI[[#This Row],[//]]="","",IF(INDEX([6]!NOTA[C],ATALI[[#This Row],[//]]-2)="","",INDEX([6]!NOTA[C],ATALI[[#This Row],[//]]-2)))</f>
        <v/>
      </c>
      <c r="L146" s="6">
        <f ca="1">IF(ATALI[[#This Row],[//]]="","",INDEX([6]!NOTA[QTY],ATALI[[#This Row],[//]]-2))</f>
        <v>360</v>
      </c>
      <c r="M146" s="6" t="str">
        <f ca="1">IF(ATALI[[#This Row],[//]]="","",INDEX([6]!NOTA[STN],ATALI[[#This Row],[//]]-2))</f>
        <v>PCS</v>
      </c>
      <c r="N146" s="5">
        <f ca="1">IF(ATALI[[#This Row],[//]]="","",INDEX([6]!NOTA[HARGA SATUAN],ATALI[[#This Row],[//]]-2))</f>
        <v>3600</v>
      </c>
      <c r="O146" s="8">
        <f ca="1">IF(ATALI[[#This Row],[//]]="","",INDEX([6]!NOTA[DISC 1],ATALI[[#This Row],[//]]-2))</f>
        <v>0.125</v>
      </c>
      <c r="P146" s="8">
        <f ca="1">IF(ATALI[[#This Row],[//]]="","",INDEX([6]!NOTA[DISC 2],ATALI[[#This Row],[//]]-2))</f>
        <v>0.05</v>
      </c>
      <c r="Q146" s="5">
        <f ca="1">IF(ATALI[[#This Row],[//]]="","",INDEX([6]!NOTA[TOTAL],ATALI[[#This Row],[//]]-2))</f>
        <v>1077300</v>
      </c>
      <c r="R1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Row],[//]]="","",INDEX([6]!NOTA[NAMA BARANG],ATALI[[#This Row],[//]]-2))</f>
        <v>HIGHLIGHTER HL-2 (GREEN) JK</v>
      </c>
      <c r="V146" s="4" t="str">
        <f ca="1">LOWER(SUBSTITUTE(SUBSTITUTE(SUBSTITUTE(SUBSTITUTE(SUBSTITUTE(SUBSTITUTE(SUBSTITUTE(ATALI[[#This Row],[N.B.nota]]," ",""),"-",""),"(",""),")",""),".",""),",",""),"/",""))</f>
        <v>highlighterhl2greenjk</v>
      </c>
      <c r="W146" s="4" t="s">
        <v>137</v>
      </c>
      <c r="X146" s="4" t="str">
        <f ca="1">IF(ATALI[[#This Row],[N.B.nota]]="","",ADDRESS(ROW(ATALI[QB]),COLUMN(ATALI[QB]))&amp;":"&amp;ADDRESS(ROW(),COLUMN(ATALI[QB])))</f>
        <v>$D$3:$D$146</v>
      </c>
      <c r="Y146" s="14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6" t="str">
        <f>IF(ATALI[[#This Row],[N_ID]]="","",INDEX(Table1[ID],MATCH(ATALI[[#This Row],[N_ID]],Table1[N_ID],0)))</f>
        <v/>
      </c>
      <c r="C147" s="6" t="str">
        <f>IF(ATALI[[#This Row],[ID NOTA]]="","",HYPERLINK("[NOTA_.xlsx]NOTA!e"&amp;INDEX([6]!PAJAK[//],MATCH(ATALI[[#This Row],[ID NOTA]],[6]!PAJAK[ID],0)),"&gt;") )</f>
        <v/>
      </c>
      <c r="D147" s="6" t="str">
        <f>IF(ATALI[[#This Row],[ID NOTA]]="","",INDEX(Table1[QB],MATCH(ATALI[[#This Row],[ID NOTA]],Table1[ID],0)))</f>
        <v/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811</v>
      </c>
      <c r="F147" s="6"/>
      <c r="G147" s="3" t="str">
        <f>IF(ATALI[[#This Row],[ID NOTA]]="","",INDEX([6]!NOTA[TGL_H],MATCH(ATALI[[#This Row],[ID NOTA]],[6]!NOTA[ID],0)))</f>
        <v/>
      </c>
      <c r="H147" s="3" t="str">
        <f>IF(ATALI[[#This Row],[ID NOTA]]="","",INDEX([6]!NOTA[TGL.NOTA],MATCH(ATALI[[#This Row],[ID NOTA]],[6]!NOTA[ID],0)))</f>
        <v/>
      </c>
      <c r="I147" s="4" t="str">
        <f>IF(ATALI[[#This Row],[ID NOTA]]="","",INDEX([6]!NOTA[NO.NOTA],MATCH(ATALI[[#This Row],[ID NOTA]],[6]!NOTA[ID],0)))</f>
        <v/>
      </c>
      <c r="J147" s="4" t="s">
        <v>284</v>
      </c>
      <c r="K147" s="6" t="str">
        <f ca="1">IF(ATALI[[#This Row],[//]]="","",IF(INDEX([6]!NOTA[C],ATALI[[#This Row],[//]]-2)="","",INDEX([6]!NOTA[C],ATALI[[#This Row],[//]]-2)))</f>
        <v/>
      </c>
      <c r="L147" s="6">
        <f ca="1">IF(ATALI[[#This Row],[//]]="","",INDEX([6]!NOTA[QTY],ATALI[[#This Row],[//]]-2))</f>
        <v>360</v>
      </c>
      <c r="M147" s="6" t="str">
        <f ca="1">IF(ATALI[[#This Row],[//]]="","",INDEX([6]!NOTA[STN],ATALI[[#This Row],[//]]-2))</f>
        <v>PCS</v>
      </c>
      <c r="N147" s="5">
        <f ca="1">IF(ATALI[[#This Row],[//]]="","",INDEX([6]!NOTA[HARGA SATUAN],ATALI[[#This Row],[//]]-2))</f>
        <v>3600</v>
      </c>
      <c r="O147" s="8">
        <f ca="1">IF(ATALI[[#This Row],[//]]="","",INDEX([6]!NOTA[DISC 1],ATALI[[#This Row],[//]]-2))</f>
        <v>0.125</v>
      </c>
      <c r="P147" s="8">
        <f ca="1">IF(ATALI[[#This Row],[//]]="","",INDEX([6]!NOTA[DISC 2],ATALI[[#This Row],[//]]-2))</f>
        <v>0.05</v>
      </c>
      <c r="Q147" s="5">
        <f ca="1">IF(ATALI[[#This Row],[//]]="","",INDEX([6]!NOTA[TOTAL],ATALI[[#This Row],[//]]-2))</f>
        <v>1077300</v>
      </c>
      <c r="R1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Row],[//]]="","",INDEX([6]!NOTA[NAMA BARANG],ATALI[[#This Row],[//]]-2))</f>
        <v>HIGHLIGHTER HL-3 (BLUE) JK</v>
      </c>
      <c r="V147" s="4" t="str">
        <f ca="1">LOWER(SUBSTITUTE(SUBSTITUTE(SUBSTITUTE(SUBSTITUTE(SUBSTITUTE(SUBSTITUTE(SUBSTITUTE(ATALI[[#This Row],[N.B.nota]]," ",""),"-",""),"(",""),")",""),".",""),",",""),"/",""))</f>
        <v>highlighterhl3bluejk</v>
      </c>
      <c r="W147" s="4" t="s">
        <v>137</v>
      </c>
      <c r="X147" s="4" t="str">
        <f ca="1">IF(ATALI[[#This Row],[N.B.nota]]="","",ADDRESS(ROW(ATALI[QB]),COLUMN(ATALI[QB]))&amp;":"&amp;ADDRESS(ROW(),COLUMN(ATALI[QB])))</f>
        <v>$D$3:$D$147</v>
      </c>
      <c r="Y147" s="14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NOTA]]="","",HYPERLINK("[NOTA_.xlsx]NOTA!e"&amp;INDEX([6]!PAJAK[//],MATCH(ATALI[[#This Row],[ID NOTA]],[6]!PAJAK[ID],0)),"&gt;")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812</v>
      </c>
      <c r="F148" s="6"/>
      <c r="G148" s="3" t="str">
        <f>IF(ATALI[[#This Row],[ID NOTA]]="","",INDEX([6]!NOTA[TGL_H],MATCH(ATALI[[#This Row],[ID NOTA]],[6]!NOTA[ID],0)))</f>
        <v/>
      </c>
      <c r="H148" s="3" t="str">
        <f>IF(ATALI[[#This Row],[ID NOTA]]="","",INDEX([6]!NOTA[TGL.NOTA],MATCH(ATALI[[#This Row],[ID NOTA]],[6]!NOTA[ID],0)))</f>
        <v/>
      </c>
      <c r="I148" s="4" t="str">
        <f>IF(ATALI[[#This Row],[ID NOTA]]="","",INDEX([6]!NOTA[NO.NOTA],MATCH(ATALI[[#This Row],[ID NOTA]],[6]!NOTA[ID],0)))</f>
        <v/>
      </c>
      <c r="J148" s="4" t="s">
        <v>285</v>
      </c>
      <c r="K148" s="6" t="str">
        <f ca="1">IF(ATALI[[#This Row],[//]]="","",IF(INDEX([6]!NOTA[C],ATALI[[#This Row],[//]]-2)="","",INDEX([6]!NOTA[C],ATALI[[#This Row],[//]]-2)))</f>
        <v/>
      </c>
      <c r="L148" s="6">
        <f ca="1">IF(ATALI[[#This Row],[//]]="","",INDEX([6]!NOTA[QTY],ATALI[[#This Row],[//]]-2))</f>
        <v>360</v>
      </c>
      <c r="M148" s="6" t="str">
        <f ca="1">IF(ATALI[[#This Row],[//]]="","",INDEX([6]!NOTA[STN],ATALI[[#This Row],[//]]-2))</f>
        <v>PCS</v>
      </c>
      <c r="N148" s="5">
        <f ca="1">IF(ATALI[[#This Row],[//]]="","",INDEX([6]!NOTA[HARGA SATUAN],ATALI[[#This Row],[//]]-2))</f>
        <v>3600</v>
      </c>
      <c r="O148" s="8">
        <f ca="1">IF(ATALI[[#This Row],[//]]="","",INDEX([6]!NOTA[DISC 1],ATALI[[#This Row],[//]]-2))</f>
        <v>0.125</v>
      </c>
      <c r="P148" s="8">
        <f ca="1">IF(ATALI[[#This Row],[//]]="","",INDEX([6]!NOTA[DISC 2],ATALI[[#This Row],[//]]-2))</f>
        <v>0.05</v>
      </c>
      <c r="Q148" s="5">
        <f ca="1">IF(ATALI[[#This Row],[//]]="","",INDEX([6]!NOTA[TOTAL],ATALI[[#This Row],[//]]-2))</f>
        <v>1077300</v>
      </c>
      <c r="R1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Row],[//]]="","",INDEX([6]!NOTA[NAMA BARANG],ATALI[[#This Row],[//]]-2))</f>
        <v>HIGHLIGHTER HL-4 (PINK) JK</v>
      </c>
      <c r="V148" s="4" t="str">
        <f ca="1">LOWER(SUBSTITUTE(SUBSTITUTE(SUBSTITUTE(SUBSTITUTE(SUBSTITUTE(SUBSTITUTE(SUBSTITUTE(ATALI[[#This Row],[N.B.nota]]," ",""),"-",""),"(",""),")",""),".",""),",",""),"/",""))</f>
        <v>highlighterhl4pinkjk</v>
      </c>
      <c r="W148" s="4" t="s">
        <v>137</v>
      </c>
      <c r="X148" s="4" t="str">
        <f ca="1">IF(ATALI[[#This Row],[N.B.nota]]="","",ADDRESS(ROW(ATALI[QB]),COLUMN(ATALI[QB]))&amp;":"&amp;ADDRESS(ROW(),COLUMN(ATALI[QB])))</f>
        <v>$D$3:$D$148</v>
      </c>
      <c r="Y148" s="14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NOTA]]="","",HYPERLINK("[NOTA_.xlsx]NOTA!e"&amp;INDEX([6]!PAJAK[//],MATCH(ATALI[[#This Row],[ID NOTA]],[6]!PAJAK[ID],0)),"&gt;")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813</v>
      </c>
      <c r="F149" s="6"/>
      <c r="G149" s="3" t="str">
        <f>IF(ATALI[[#This Row],[ID NOTA]]="","",INDEX([6]!NOTA[TGL_H],MATCH(ATALI[[#This Row],[ID NOTA]],[6]!NOTA[ID],0)))</f>
        <v/>
      </c>
      <c r="H149" s="3" t="str">
        <f>IF(ATALI[[#This Row],[ID NOTA]]="","",INDEX([6]!NOTA[TGL.NOTA],MATCH(ATALI[[#This Row],[ID NOTA]],[6]!NOTA[ID],0)))</f>
        <v/>
      </c>
      <c r="I149" s="4" t="str">
        <f>IF(ATALI[[#This Row],[ID NOTA]]="","",INDEX([6]!NOTA[NO.NOTA],MATCH(ATALI[[#This Row],[ID NOTA]],[6]!NOTA[ID],0)))</f>
        <v/>
      </c>
      <c r="J149" s="4" t="s">
        <v>286</v>
      </c>
      <c r="K149" s="6" t="str">
        <f ca="1">IF(ATALI[[#This Row],[//]]="","",IF(INDEX([6]!NOTA[C],ATALI[[#This Row],[//]]-2)="","",INDEX([6]!NOTA[C],ATALI[[#This Row],[//]]-2)))</f>
        <v/>
      </c>
      <c r="L149" s="6">
        <f ca="1">IF(ATALI[[#This Row],[//]]="","",INDEX([6]!NOTA[QTY],ATALI[[#This Row],[//]]-2))</f>
        <v>360</v>
      </c>
      <c r="M149" s="6" t="str">
        <f ca="1">IF(ATALI[[#This Row],[//]]="","",INDEX([6]!NOTA[STN],ATALI[[#This Row],[//]]-2))</f>
        <v>PCS</v>
      </c>
      <c r="N149" s="5">
        <f ca="1">IF(ATALI[[#This Row],[//]]="","",INDEX([6]!NOTA[HARGA SATUAN],ATALI[[#This Row],[//]]-2))</f>
        <v>3600</v>
      </c>
      <c r="O149" s="8">
        <f ca="1">IF(ATALI[[#This Row],[//]]="","",INDEX([6]!NOTA[DISC 1],ATALI[[#This Row],[//]]-2))</f>
        <v>0.125</v>
      </c>
      <c r="P149" s="8">
        <f ca="1">IF(ATALI[[#This Row],[//]]="","",INDEX([6]!NOTA[DISC 2],ATALI[[#This Row],[//]]-2))</f>
        <v>0.05</v>
      </c>
      <c r="Q149" s="5">
        <f ca="1">IF(ATALI[[#This Row],[//]]="","",INDEX([6]!NOTA[TOTAL],ATALI[[#This Row],[//]]-2))</f>
        <v>1077300</v>
      </c>
      <c r="R1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Row],[//]]="","",INDEX([6]!NOTA[NAMA BARANG],ATALI[[#This Row],[//]]-2))</f>
        <v>HIGHLIGHTER HL-5 (ORANGE) JK</v>
      </c>
      <c r="V149" s="4" t="str">
        <f ca="1">LOWER(SUBSTITUTE(SUBSTITUTE(SUBSTITUTE(SUBSTITUTE(SUBSTITUTE(SUBSTITUTE(SUBSTITUTE(ATALI[[#This Row],[N.B.nota]]," ",""),"-",""),"(",""),")",""),".",""),",",""),"/",""))</f>
        <v>highlighterhl5orangejk</v>
      </c>
      <c r="W149" s="4" t="s">
        <v>137</v>
      </c>
      <c r="X149" s="4" t="str">
        <f ca="1">IF(ATALI[[#This Row],[N.B.nota]]="","",ADDRESS(ROW(ATALI[QB]),COLUMN(ATALI[QB]))&amp;":"&amp;ADDRESS(ROW(),COLUMN(ATALI[QB])))</f>
        <v>$D$3:$D$149</v>
      </c>
      <c r="Y149" s="14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NOTA]]="","",HYPERLINK("[NOTA_.xlsx]NOTA!e"&amp;INDEX([6]!PAJAK[//],MATCH(ATALI[[#This Row],[ID NOTA]],[6]!PAJAK[ID],0)),"&gt;")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814</v>
      </c>
      <c r="F150" s="6"/>
      <c r="G150" s="3" t="str">
        <f>IF(ATALI[[#This Row],[ID NOTA]]="","",INDEX([6]!NOTA[TGL_H],MATCH(ATALI[[#This Row],[ID NOTA]],[6]!NOTA[ID],0)))</f>
        <v/>
      </c>
      <c r="H150" s="3" t="str">
        <f>IF(ATALI[[#This Row],[ID NOTA]]="","",INDEX([6]!NOTA[TGL.NOTA],MATCH(ATALI[[#This Row],[ID NOTA]],[6]!NOTA[ID],0)))</f>
        <v/>
      </c>
      <c r="I150" s="4" t="str">
        <f>IF(ATALI[[#This Row],[ID NOTA]]="","",INDEX([6]!NOTA[NO.NOTA],MATCH(ATALI[[#This Row],[ID NOTA]],[6]!NOTA[ID],0)))</f>
        <v/>
      </c>
      <c r="J150" s="4" t="s">
        <v>282</v>
      </c>
      <c r="K150" s="6">
        <f ca="1">IF(ATALI[[#This Row],[//]]="","",IF(INDEX([6]!NOTA[C],ATALI[[#This Row],[//]]-2)="","",INDEX([6]!NOTA[C],ATALI[[#This Row],[//]]-2)))</f>
        <v>1</v>
      </c>
      <c r="L150" s="6">
        <f ca="1">IF(ATALI[[#This Row],[//]]="","",INDEX([6]!NOTA[QTY],ATALI[[#This Row],[//]]-2))</f>
        <v>720</v>
      </c>
      <c r="M150" s="6" t="str">
        <f ca="1">IF(ATALI[[#This Row],[//]]="","",INDEX([6]!NOTA[STN],ATALI[[#This Row],[//]]-2))</f>
        <v>PCS</v>
      </c>
      <c r="N150" s="5">
        <f ca="1">IF(ATALI[[#This Row],[//]]="","",INDEX([6]!NOTA[HARGA SATUAN],ATALI[[#This Row],[//]]-2))</f>
        <v>3600</v>
      </c>
      <c r="O150" s="8">
        <f ca="1">IF(ATALI[[#This Row],[//]]="","",INDEX([6]!NOTA[DISC 1],ATALI[[#This Row],[//]]-2))</f>
        <v>0.125</v>
      </c>
      <c r="P150" s="8">
        <f ca="1">IF(ATALI[[#This Row],[//]]="","",INDEX([6]!NOTA[DISC 2],ATALI[[#This Row],[//]]-2))</f>
        <v>0.05</v>
      </c>
      <c r="Q150" s="5">
        <f ca="1">IF(ATALI[[#This Row],[//]]="","",INDEX([6]!NOTA[TOTAL],ATALI[[#This Row],[//]]-2))</f>
        <v>2154600</v>
      </c>
      <c r="R1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Row],[//]]="","",INDEX([6]!NOTA[NAMA BARANG],ATALI[[#This Row],[//]]-2))</f>
        <v>HIGHLIGHTER HL-1 (YELLOW) JK</v>
      </c>
      <c r="V150" s="4" t="str">
        <f ca="1">LOWER(SUBSTITUTE(SUBSTITUTE(SUBSTITUTE(SUBSTITUTE(SUBSTITUTE(SUBSTITUTE(SUBSTITUTE(ATALI[[#This Row],[N.B.nota]]," ",""),"-",""),"(",""),")",""),".",""),",",""),"/",""))</f>
        <v>highlighterhl1yellowjk</v>
      </c>
      <c r="W150" s="4" t="s">
        <v>137</v>
      </c>
      <c r="X150" s="4" t="str">
        <f ca="1">IF(ATALI[[#This Row],[N.B.nota]]="","",ADDRESS(ROW(ATALI[QB]),COLUMN(ATALI[QB]))&amp;":"&amp;ADDRESS(ROW(),COLUMN(ATALI[QB])))</f>
        <v>$D$3:$D$150</v>
      </c>
      <c r="Y150" s="14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NOTA]]="","",HYPERLINK("[NOTA_.xlsx]NOTA!e"&amp;INDEX([6]!PAJAK[//],MATCH(ATALI[[#This Row],[ID NOTA]],[6]!PAJAK[ID],0)),"&gt;")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815</v>
      </c>
      <c r="F151" s="6"/>
      <c r="G151" s="3" t="str">
        <f>IF(ATALI[[#This Row],[ID NOTA]]="","",INDEX([6]!NOTA[TGL_H],MATCH(ATALI[[#This Row],[ID NOTA]],[6]!NOTA[ID],0)))</f>
        <v/>
      </c>
      <c r="H151" s="3" t="str">
        <f>IF(ATALI[[#This Row],[ID NOTA]]="","",INDEX([6]!NOTA[TGL.NOTA],MATCH(ATALI[[#This Row],[ID NOTA]],[6]!NOTA[ID],0)))</f>
        <v/>
      </c>
      <c r="I151" s="4" t="str">
        <f>IF(ATALI[[#This Row],[ID NOTA]]="","",INDEX([6]!NOTA[NO.NOTA],MATCH(ATALI[[#This Row],[ID NOTA]],[6]!NOTA[ID],0)))</f>
        <v/>
      </c>
      <c r="J151" s="4" t="s">
        <v>327</v>
      </c>
      <c r="K151" s="6">
        <f ca="1">IF(ATALI[[#This Row],[//]]="","",IF(INDEX([6]!NOTA[C],ATALI[[#This Row],[//]]-2)="","",INDEX([6]!NOTA[C],ATALI[[#This Row],[//]]-2)))</f>
        <v>1</v>
      </c>
      <c r="L151" s="6">
        <f ca="1">IF(ATALI[[#This Row],[//]]="","",INDEX([6]!NOTA[QTY],ATALI[[#This Row],[//]]-2))</f>
        <v>60</v>
      </c>
      <c r="M151" s="6" t="str">
        <f ca="1">IF(ATALI[[#This Row],[//]]="","",INDEX([6]!NOTA[STN],ATALI[[#This Row],[//]]-2))</f>
        <v>BOX</v>
      </c>
      <c r="N151" s="5">
        <f ca="1">IF(ATALI[[#This Row],[//]]="","",INDEX([6]!NOTA[HARGA SATUAN],ATALI[[#This Row],[//]]-2))</f>
        <v>31200</v>
      </c>
      <c r="O151" s="8">
        <f ca="1">IF(ATALI[[#This Row],[//]]="","",INDEX([6]!NOTA[DISC 1],ATALI[[#This Row],[//]]-2))</f>
        <v>0.125</v>
      </c>
      <c r="P151" s="8">
        <f ca="1">IF(ATALI[[#This Row],[//]]="","",INDEX([6]!NOTA[DISC 2],ATALI[[#This Row],[//]]-2))</f>
        <v>0.05</v>
      </c>
      <c r="Q151" s="5">
        <f ca="1">IF(ATALI[[#This Row],[//]]="","",INDEX([6]!NOTA[TOTAL],ATALI[[#This Row],[//]]-2))</f>
        <v>1556100</v>
      </c>
      <c r="R1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Row],[//]]="","",INDEX([6]!NOTA[NAMA BARANG],ATALI[[#This Row],[//]]-2))</f>
        <v>SHARPENER B-72 JK</v>
      </c>
      <c r="V151" s="4" t="str">
        <f ca="1">LOWER(SUBSTITUTE(SUBSTITUTE(SUBSTITUTE(SUBSTITUTE(SUBSTITUTE(SUBSTITUTE(SUBSTITUTE(ATALI[[#This Row],[N.B.nota]]," ",""),"-",""),"(",""),")",""),".",""),",",""),"/",""))</f>
        <v>sharpenerb72jk</v>
      </c>
      <c r="W151" s="4" t="s">
        <v>137</v>
      </c>
      <c r="X151" s="4" t="str">
        <f ca="1">IF(ATALI[[#This Row],[N.B.nota]]="","",ADDRESS(ROW(ATALI[QB]),COLUMN(ATALI[QB]))&amp;":"&amp;ADDRESS(ROW(),COLUMN(ATALI[QB])))</f>
        <v>$D$3:$D$151</v>
      </c>
      <c r="Y151" s="14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NOTA]]="","",HYPERLINK("[NOTA_.xlsx]NOTA!e"&amp;INDEX([6]!PAJAK[//],MATCH(ATALI[[#This Row],[ID NOTA]],[6]!PAJAK[ID],0)),"&gt;")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816</v>
      </c>
      <c r="F152" s="6"/>
      <c r="G152" s="3" t="str">
        <f>IF(ATALI[[#This Row],[ID NOTA]]="","",INDEX([6]!NOTA[TGL_H],MATCH(ATALI[[#This Row],[ID NOTA]],[6]!NOTA[ID],0)))</f>
        <v/>
      </c>
      <c r="H152" s="3" t="str">
        <f>IF(ATALI[[#This Row],[ID NOTA]]="","",INDEX([6]!NOTA[TGL.NOTA],MATCH(ATALI[[#This Row],[ID NOTA]],[6]!NOTA[ID],0)))</f>
        <v/>
      </c>
      <c r="I152" s="4" t="str">
        <f>IF(ATALI[[#This Row],[ID NOTA]]="","",INDEX([6]!NOTA[NO.NOTA],MATCH(ATALI[[#This Row],[ID NOTA]],[6]!NOTA[ID],0)))</f>
        <v/>
      </c>
      <c r="J152" s="4" t="s">
        <v>313</v>
      </c>
      <c r="K152" s="6">
        <f ca="1">IF(ATALI[[#This Row],[//]]="","",IF(INDEX([6]!NOTA[C],ATALI[[#This Row],[//]]-2)="","",INDEX([6]!NOTA[C],ATALI[[#This Row],[//]]-2)))</f>
        <v>1</v>
      </c>
      <c r="L152" s="6">
        <f ca="1">IF(ATALI[[#This Row],[//]]="","",INDEX([6]!NOTA[QTY],ATALI[[#This Row],[//]]-2))</f>
        <v>240</v>
      </c>
      <c r="M152" s="6" t="str">
        <f ca="1">IF(ATALI[[#This Row],[//]]="","",INDEX([6]!NOTA[STN],ATALI[[#This Row],[//]]-2))</f>
        <v>SET</v>
      </c>
      <c r="N152" s="5">
        <f ca="1">IF(ATALI[[#This Row],[//]]="","",INDEX([6]!NOTA[HARGA SATUAN],ATALI[[#This Row],[//]]-2))</f>
        <v>8800</v>
      </c>
      <c r="O152" s="8">
        <f ca="1">IF(ATALI[[#This Row],[//]]="","",INDEX([6]!NOTA[DISC 1],ATALI[[#This Row],[//]]-2))</f>
        <v>0.125</v>
      </c>
      <c r="P152" s="8">
        <f ca="1">IF(ATALI[[#This Row],[//]]="","",INDEX([6]!NOTA[DISC 2],ATALI[[#This Row],[//]]-2))</f>
        <v>0.05</v>
      </c>
      <c r="Q152" s="5">
        <f ca="1">IF(ATALI[[#This Row],[//]]="","",INDEX([6]!NOTA[TOTAL],ATALI[[#This Row],[//]]-2))</f>
        <v>1755600</v>
      </c>
      <c r="R1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Row],[//]]="","",INDEX([6]!NOTA[NAMA BARANG],ATALI[[#This Row],[//]]-2))</f>
        <v>BRUSH BR-1 JK</v>
      </c>
      <c r="V152" s="4" t="str">
        <f ca="1">LOWER(SUBSTITUTE(SUBSTITUTE(SUBSTITUTE(SUBSTITUTE(SUBSTITUTE(SUBSTITUTE(SUBSTITUTE(ATALI[[#This Row],[N.B.nota]]," ",""),"-",""),"(",""),")",""),".",""),",",""),"/",""))</f>
        <v>brushbr1jk</v>
      </c>
      <c r="W152" s="4" t="s">
        <v>137</v>
      </c>
      <c r="X152" s="4" t="str">
        <f ca="1">IF(ATALI[[#This Row],[N.B.nota]]="","",ADDRESS(ROW(ATALI[QB]),COLUMN(ATALI[QB]))&amp;":"&amp;ADDRESS(ROW(),COLUMN(ATALI[QB])))</f>
        <v>$D$3:$D$152</v>
      </c>
      <c r="Y152" s="14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NOTA]]="","",HYPERLINK("[NOTA_.xlsx]NOTA!e"&amp;INDEX([6]!PAJAK[//],MATCH(ATALI[[#This Row],[ID NOTA]],[6]!PAJAK[ID],0)),"&gt;")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817</v>
      </c>
      <c r="F153" s="6"/>
      <c r="G153" s="3" t="str">
        <f>IF(ATALI[[#This Row],[ID NOTA]]="","",INDEX([6]!NOTA[TGL_H],MATCH(ATALI[[#This Row],[ID NOTA]],[6]!NOTA[ID],0)))</f>
        <v/>
      </c>
      <c r="H153" s="3" t="str">
        <f>IF(ATALI[[#This Row],[ID NOTA]]="","",INDEX([6]!NOTA[TGL.NOTA],MATCH(ATALI[[#This Row],[ID NOTA]],[6]!NOTA[ID],0)))</f>
        <v/>
      </c>
      <c r="I153" s="4" t="str">
        <f>IF(ATALI[[#This Row],[ID NOTA]]="","",INDEX([6]!NOTA[NO.NOTA],MATCH(ATALI[[#This Row],[ID NOTA]],[6]!NOTA[ID],0)))</f>
        <v/>
      </c>
      <c r="J153" s="4" t="s">
        <v>251</v>
      </c>
      <c r="K153" s="6">
        <f ca="1">IF(ATALI[[#This Row],[//]]="","",IF(INDEX([6]!NOTA[C],ATALI[[#This Row],[//]]-2)="","",INDEX([6]!NOTA[C],ATALI[[#This Row],[//]]-2)))</f>
        <v>1</v>
      </c>
      <c r="L153" s="6">
        <f ca="1">IF(ATALI[[#This Row],[//]]="","",INDEX([6]!NOTA[QTY],ATALI[[#This Row],[//]]-2))</f>
        <v>48</v>
      </c>
      <c r="M153" s="6" t="str">
        <f ca="1">IF(ATALI[[#This Row],[//]]="","",INDEX([6]!NOTA[STN],ATALI[[#This Row],[//]]-2))</f>
        <v>DZ</v>
      </c>
      <c r="N153" s="5">
        <f ca="1">IF(ATALI[[#This Row],[//]]="","",INDEX([6]!NOTA[HARGA SATUAN],ATALI[[#This Row],[//]]-2))</f>
        <v>55800</v>
      </c>
      <c r="O153" s="8">
        <f ca="1">IF(ATALI[[#This Row],[//]]="","",INDEX([6]!NOTA[DISC 1],ATALI[[#This Row],[//]]-2))</f>
        <v>0.125</v>
      </c>
      <c r="P153" s="8">
        <f ca="1">IF(ATALI[[#This Row],[//]]="","",INDEX([6]!NOTA[DISC 2],ATALI[[#This Row],[//]]-2))</f>
        <v>0.05</v>
      </c>
      <c r="Q153" s="5">
        <f ca="1">IF(ATALI[[#This Row],[//]]="","",INDEX([6]!NOTA[TOTAL],ATALI[[#This Row],[//]]-2))</f>
        <v>2226420</v>
      </c>
      <c r="R1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Row],[//]]="","",INDEX([6]!NOTA[NAMA BARANG],ATALI[[#This Row],[//]]-2))</f>
        <v>CUTTER A-300 A (AUTOLOCK) JK</v>
      </c>
      <c r="V153" s="4" t="str">
        <f ca="1">LOWER(SUBSTITUTE(SUBSTITUTE(SUBSTITUTE(SUBSTITUTE(SUBSTITUTE(SUBSTITUTE(SUBSTITUTE(ATALI[[#This Row],[N.B.nota]]," ",""),"-",""),"(",""),")",""),".",""),",",""),"/",""))</f>
        <v>cuttera300aautolockjk</v>
      </c>
      <c r="W153" s="4" t="s">
        <v>137</v>
      </c>
      <c r="X153" s="4" t="str">
        <f ca="1">IF(ATALI[[#This Row],[N.B.nota]]="","",ADDRESS(ROW(ATALI[QB]),COLUMN(ATALI[QB]))&amp;":"&amp;ADDRESS(ROW(),COLUMN(ATALI[QB])))</f>
        <v>$D$3:$D$153</v>
      </c>
      <c r="Y153" s="14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NOTA]]="","",HYPERLINK("[NOTA_.xlsx]NOTA!e"&amp;INDEX([6]!PAJAK[//],MATCH(ATALI[[#This Row],[ID NOTA]],[6]!PAJAK[ID],0)),"&gt;")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818</v>
      </c>
      <c r="F154" s="6"/>
      <c r="G154" s="3" t="str">
        <f>IF(ATALI[[#This Row],[ID NOTA]]="","",INDEX([6]!NOTA[TGL_H],MATCH(ATALI[[#This Row],[ID NOTA]],[6]!NOTA[ID],0)))</f>
        <v/>
      </c>
      <c r="H154" s="3" t="str">
        <f>IF(ATALI[[#This Row],[ID NOTA]]="","",INDEX([6]!NOTA[TGL.NOTA],MATCH(ATALI[[#This Row],[ID NOTA]],[6]!NOTA[ID],0)))</f>
        <v/>
      </c>
      <c r="I154" s="4" t="str">
        <f>IF(ATALI[[#This Row],[ID NOTA]]="","",INDEX([6]!NOTA[NO.NOTA],MATCH(ATALI[[#This Row],[ID NOTA]],[6]!NOTA[ID],0)))</f>
        <v/>
      </c>
      <c r="J154" s="4" t="s">
        <v>315</v>
      </c>
      <c r="K154" s="6">
        <f ca="1">IF(ATALI[[#This Row],[//]]="","",IF(INDEX([6]!NOTA[C],ATALI[[#This Row],[//]]-2)="","",INDEX([6]!NOTA[C],ATALI[[#This Row],[//]]-2)))</f>
        <v>1</v>
      </c>
      <c r="L154" s="6">
        <f ca="1">IF(ATALI[[#This Row],[//]]="","",INDEX([6]!NOTA[QTY],ATALI[[#This Row],[//]]-2))</f>
        <v>40</v>
      </c>
      <c r="M154" s="6" t="str">
        <f ca="1">IF(ATALI[[#This Row],[//]]="","",INDEX([6]!NOTA[STN],ATALI[[#This Row],[//]]-2))</f>
        <v>DZ</v>
      </c>
      <c r="N154" s="5">
        <f ca="1">IF(ATALI[[#This Row],[//]]="","",INDEX([6]!NOTA[HARGA SATUAN],ATALI[[#This Row],[//]]-2))</f>
        <v>49200</v>
      </c>
      <c r="O154" s="8">
        <f ca="1">IF(ATALI[[#This Row],[//]]="","",INDEX([6]!NOTA[DISC 1],ATALI[[#This Row],[//]]-2))</f>
        <v>0.125</v>
      </c>
      <c r="P154" s="8">
        <f ca="1">IF(ATALI[[#This Row],[//]]="","",INDEX([6]!NOTA[DISC 2],ATALI[[#This Row],[//]]-2))</f>
        <v>0.05</v>
      </c>
      <c r="Q154" s="5">
        <f ca="1">IF(ATALI[[#This Row],[//]]="","",INDEX([6]!NOTA[TOTAL],ATALI[[#This Row],[//]]-2))</f>
        <v>1635900</v>
      </c>
      <c r="R1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Row],[//]]="","",INDEX([6]!NOTA[NAMA BARANG],ATALI[[#This Row],[//]]-2))</f>
        <v>CUTTER BLADE L-150 AM (L) JK</v>
      </c>
      <c r="V154" s="4" t="str">
        <f ca="1">LOWER(SUBSTITUTE(SUBSTITUTE(SUBSTITUTE(SUBSTITUTE(SUBSTITUTE(SUBSTITUTE(SUBSTITUTE(ATALI[[#This Row],[N.B.nota]]," ",""),"-",""),"(",""),")",""),".",""),",",""),"/",""))</f>
        <v>cutterbladel150amljk</v>
      </c>
      <c r="W154" s="4" t="s">
        <v>137</v>
      </c>
      <c r="X154" s="4" t="str">
        <f ca="1">IF(ATALI[[#This Row],[N.B.nota]]="","",ADDRESS(ROW(ATALI[QB]),COLUMN(ATALI[QB]))&amp;":"&amp;ADDRESS(ROW(),COLUMN(ATALI[QB])))</f>
        <v>$D$3:$D$154</v>
      </c>
      <c r="Y154" s="14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NOTA]]="","",HYPERLINK("[NOTA_.xlsx]NOTA!e"&amp;INDEX([6]!PAJAK[//],MATCH(ATALI[[#This Row],[ID NOTA]],[6]!PAJAK[ID],0)),"&gt;")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819</v>
      </c>
      <c r="F155" s="6"/>
      <c r="G155" s="3" t="str">
        <f>IF(ATALI[[#This Row],[ID NOTA]]="","",INDEX([6]!NOTA[TGL_H],MATCH(ATALI[[#This Row],[ID NOTA]],[6]!NOTA[ID],0)))</f>
        <v/>
      </c>
      <c r="H155" s="3" t="str">
        <f>IF(ATALI[[#This Row],[ID NOTA]]="","",INDEX([6]!NOTA[TGL.NOTA],MATCH(ATALI[[#This Row],[ID NOTA]],[6]!NOTA[ID],0)))</f>
        <v/>
      </c>
      <c r="I155" s="4" t="str">
        <f>IF(ATALI[[#This Row],[ID NOTA]]="","",INDEX([6]!NOTA[NO.NOTA],MATCH(ATALI[[#This Row],[ID NOTA]],[6]!NOTA[ID],0)))</f>
        <v/>
      </c>
      <c r="J155" s="4" t="s">
        <v>314</v>
      </c>
      <c r="K155" s="6">
        <f ca="1">IF(ATALI[[#This Row],[//]]="","",IF(INDEX([6]!NOTA[C],ATALI[[#This Row],[//]]-2)="","",INDEX([6]!NOTA[C],ATALI[[#This Row],[//]]-2)))</f>
        <v>1</v>
      </c>
      <c r="L155" s="6">
        <f ca="1">IF(ATALI[[#This Row],[//]]="","",INDEX([6]!NOTA[QTY],ATALI[[#This Row],[//]]-2))</f>
        <v>24</v>
      </c>
      <c r="M155" s="6" t="str">
        <f ca="1">IF(ATALI[[#This Row],[//]]="","",INDEX([6]!NOTA[STN],ATALI[[#This Row],[//]]-2))</f>
        <v>DZ</v>
      </c>
      <c r="N155" s="5">
        <f ca="1">IF(ATALI[[#This Row],[//]]="","",INDEX([6]!NOTA[HARGA SATUAN],ATALI[[#This Row],[//]]-2))</f>
        <v>162000</v>
      </c>
      <c r="O155" s="8">
        <f ca="1">IF(ATALI[[#This Row],[//]]="","",INDEX([6]!NOTA[DISC 1],ATALI[[#This Row],[//]]-2))</f>
        <v>0.125</v>
      </c>
      <c r="P155" s="8">
        <f ca="1">IF(ATALI[[#This Row],[//]]="","",INDEX([6]!NOTA[DISC 2],ATALI[[#This Row],[//]]-2))</f>
        <v>0.05</v>
      </c>
      <c r="Q155" s="5">
        <f ca="1">IF(ATALI[[#This Row],[//]]="","",INDEX([6]!NOTA[TOTAL],ATALI[[#This Row],[//]]-2))</f>
        <v>3231900</v>
      </c>
      <c r="R1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Row],[//]]="","",INDEX([6]!NOTA[NAMA BARANG],ATALI[[#This Row],[//]]-2))</f>
        <v>CUTTER L-500 JK</v>
      </c>
      <c r="V155" s="4" t="str">
        <f ca="1">LOWER(SUBSTITUTE(SUBSTITUTE(SUBSTITUTE(SUBSTITUTE(SUBSTITUTE(SUBSTITUTE(SUBSTITUTE(ATALI[[#This Row],[N.B.nota]]," ",""),"-",""),"(",""),")",""),".",""),",",""),"/",""))</f>
        <v>cutterl500jk</v>
      </c>
      <c r="W155" s="4" t="s">
        <v>137</v>
      </c>
      <c r="X155" s="4" t="str">
        <f ca="1">IF(ATALI[[#This Row],[N.B.nota]]="","",ADDRESS(ROW(ATALI[QB]),COLUMN(ATALI[QB]))&amp;":"&amp;ADDRESS(ROW(),COLUMN(ATALI[QB])))</f>
        <v>$D$3:$D$155</v>
      </c>
      <c r="Y155" s="14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NOTA]]="","",HYPERLINK("[NOTA_.xlsx]NOTA!e"&amp;INDEX([6]!PAJAK[//],MATCH(ATALI[[#This Row],[ID NOTA]],[6]!PAJAK[ID],0)),"&gt;") )</f>
        <v/>
      </c>
      <c r="D156" s="6" t="str">
        <f>IF(ATALI[[#This Row],[ID NOTA]]="","",INDEX(Table1[QB],MATCH(ATALI[[#This Row],[ID NOTA]],Table1[ID],0)))</f>
        <v/>
      </c>
      <c r="E1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820</v>
      </c>
      <c r="F156" s="6"/>
      <c r="G156" s="3" t="str">
        <f>IF(ATALI[[#This Row],[ID NOTA]]="","",INDEX([6]!NOTA[TGL_H],MATCH(ATALI[[#This Row],[ID NOTA]],[6]!NOTA[ID],0)))</f>
        <v/>
      </c>
      <c r="H156" s="3" t="str">
        <f>IF(ATALI[[#This Row],[ID NOTA]]="","",INDEX([6]!NOTA[TGL.NOTA],MATCH(ATALI[[#This Row],[ID NOTA]],[6]!NOTA[ID],0)))</f>
        <v/>
      </c>
      <c r="I156" s="4" t="str">
        <f>IF(ATALI[[#This Row],[ID NOTA]]="","",INDEX([6]!NOTA[NO.NOTA],MATCH(ATALI[[#This Row],[ID NOTA]],[6]!NOTA[ID],0)))</f>
        <v/>
      </c>
      <c r="J156" s="4" t="s">
        <v>315</v>
      </c>
      <c r="K156" s="6" t="str">
        <f ca="1">IF(ATALI[[#This Row],[//]]="","",IF(INDEX([6]!NOTA[C],ATALI[[#This Row],[//]]-2)="","",INDEX([6]!NOTA[C],ATALI[[#This Row],[//]]-2)))</f>
        <v/>
      </c>
      <c r="L156" s="6">
        <f ca="1">IF(ATALI[[#This Row],[//]]="","",INDEX([6]!NOTA[QTY],ATALI[[#This Row],[//]]-2))</f>
        <v>24</v>
      </c>
      <c r="M156" s="6" t="str">
        <f ca="1">IF(ATALI[[#This Row],[//]]="","",INDEX([6]!NOTA[STN],ATALI[[#This Row],[//]]-2))</f>
        <v>DZ</v>
      </c>
      <c r="N156" s="5">
        <f ca="1">IF(ATALI[[#This Row],[//]]="","",INDEX([6]!NOTA[HARGA SATUAN],ATALI[[#This Row],[//]]-2))</f>
        <v>0</v>
      </c>
      <c r="O156" s="8">
        <f ca="1">IF(ATALI[[#This Row],[//]]="","",INDEX([6]!NOTA[DISC 1],ATALI[[#This Row],[//]]-2))</f>
        <v>0.125</v>
      </c>
      <c r="P156" s="8">
        <f ca="1">IF(ATALI[[#This Row],[//]]="","",INDEX([6]!NOTA[DISC 2],ATALI[[#This Row],[//]]-2))</f>
        <v>0.05</v>
      </c>
      <c r="Q156" s="5" t="str">
        <f ca="1">IF(ATALI[[#This Row],[//]]="","",INDEX([6]!NOTA[TOTAL],ATALI[[#This Row],[//]]-2))</f>
        <v/>
      </c>
      <c r="R15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5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16869720</v>
      </c>
      <c r="T156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CUTTER L-500 JK</v>
      </c>
      <c r="U156" s="4" t="str">
        <f ca="1">IF(ATALI[[#This Row],[//]]="","",INDEX([6]!NOTA[NAMA BARANG],ATALI[[#This Row],[//]]-2))</f>
        <v>CUTTER BLADE L-150 AM (L) JK</v>
      </c>
      <c r="V156" s="4" t="str">
        <f ca="1">LOWER(SUBSTITUTE(SUBSTITUTE(SUBSTITUTE(SUBSTITUTE(SUBSTITUTE(SUBSTITUTE(SUBSTITUTE(ATALI[[#This Row],[N.B.nota]]," ",""),"-",""),"(",""),")",""),".",""),",",""),"/",""))</f>
        <v>cutterbladel150amljk</v>
      </c>
      <c r="W156" s="4" t="s">
        <v>137</v>
      </c>
      <c r="X156" s="4" t="str">
        <f ca="1">IF(ATALI[[#This Row],[N.B.nota]]="","",ADDRESS(ROW(ATALI[QB]),COLUMN(ATALI[QB]))&amp;":"&amp;ADDRESS(ROW(),COLUMN(ATALI[QB])))</f>
        <v>$D$3:$D$156</v>
      </c>
      <c r="Y156" s="14" t="str">
        <f ca="1">IF(ATALI[[#This Row],[//]]="","",HYPERLINK("[../DB.xlsx]DB!e"&amp;MATCH(ATALI[[#This Row],[concat]],[4]!db[NB NOTA_C],0)+1,"&gt;"))</f>
        <v>&gt;</v>
      </c>
    </row>
    <row r="157" spans="1:25" x14ac:dyDescent="0.25">
      <c r="A157" s="4"/>
      <c r="B157" s="6" t="str">
        <f>IF(ATALI[[#This Row],[N_ID]]="","",INDEX(Table1[ID],MATCH(ATALI[[#This Row],[N_ID]],Table1[N_ID],0)))</f>
        <v/>
      </c>
      <c r="C157" s="6" t="str">
        <f>IF(ATALI[[#This Row],[ID NOTA]]="","",HYPERLINK("[NOTA_.xlsx]NOTA!e"&amp;INDEX([6]!PAJAK[//],MATCH(ATALI[[#This Row],[ID NOTA]],[6]!PAJAK[ID],0)),"&gt;") )</f>
        <v/>
      </c>
      <c r="D157" s="6" t="str">
        <f>IF(ATALI[[#This Row],[ID NOTA]]="","",INDEX(Table1[QB],MATCH(ATALI[[#This Row],[ID NOTA]],Table1[ID],0)))</f>
        <v/>
      </c>
      <c r="E1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7" s="6"/>
      <c r="G157" s="3" t="str">
        <f>IF(ATALI[[#This Row],[ID NOTA]]="","",INDEX([6]!NOTA[TGL_H],MATCH(ATALI[[#This Row],[ID NOTA]],[6]!NOTA[ID],0)))</f>
        <v/>
      </c>
      <c r="H157" s="3" t="str">
        <f>IF(ATALI[[#This Row],[ID NOTA]]="","",INDEX([6]!NOTA[TGL.NOTA],MATCH(ATALI[[#This Row],[ID NOTA]],[6]!NOTA[ID],0)))</f>
        <v/>
      </c>
      <c r="I157" s="4" t="str">
        <f>IF(ATALI[[#This Row],[ID NOTA]]="","",INDEX([6]!NOTA[NO.NOTA],MATCH(ATALI[[#This Row],[ID NOTA]],[6]!NOTA[ID],0)))</f>
        <v/>
      </c>
      <c r="J157" s="4" t="s">
        <v>136</v>
      </c>
      <c r="K157" s="6" t="str">
        <f ca="1">IF(ATALI[[#This Row],[//]]="","",IF(INDEX([6]!NOTA[C],ATALI[[#This Row],[//]]-2)="","",INDEX([6]!NOTA[C],ATALI[[#This Row],[//]]-2)))</f>
        <v/>
      </c>
      <c r="L157" s="6" t="str">
        <f ca="1">IF(ATALI[[#This Row],[//]]="","",INDEX([6]!NOTA[QTY],ATALI[[#This Row],[//]]-2))</f>
        <v/>
      </c>
      <c r="M157" s="6" t="str">
        <f ca="1">IF(ATALI[[#This Row],[//]]="","",INDEX([6]!NOTA[STN],ATALI[[#This Row],[//]]-2))</f>
        <v/>
      </c>
      <c r="N157" s="5" t="str">
        <f ca="1">IF(ATALI[[#This Row],[//]]="","",INDEX([6]!NOTA[HARGA SATUAN],ATALI[[#This Row],[//]]-2))</f>
        <v/>
      </c>
      <c r="O157" s="8" t="str">
        <f ca="1">IF(ATALI[[#This Row],[//]]="","",INDEX([6]!NOTA[DISC 1],ATALI[[#This Row],[//]]-2))</f>
        <v/>
      </c>
      <c r="P157" s="8" t="str">
        <f ca="1">IF(ATALI[[#This Row],[//]]="","",INDEX([6]!NOTA[DISC 2],ATALI[[#This Row],[//]]-2))</f>
        <v/>
      </c>
      <c r="Q157" s="5" t="str">
        <f ca="1">IF(ATALI[[#This Row],[//]]="","",INDEX([6]!NOTA[TOTAL],ATALI[[#This Row],[//]]-2))</f>
        <v/>
      </c>
      <c r="R1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Row],[//]]="","",INDEX([6]!NOTA[NAMA BARANG],ATALI[[#This Row],[//]]-2))</f>
        <v/>
      </c>
      <c r="V157" s="4" t="str">
        <f ca="1">LOWER(SUBSTITUTE(SUBSTITUTE(SUBSTITUTE(SUBSTITUTE(SUBSTITUTE(SUBSTITUTE(SUBSTITUTE(ATALI[[#This Row],[N.B.nota]]," ",""),"-",""),"(",""),")",""),".",""),",",""),"/",""))</f>
        <v/>
      </c>
      <c r="W157" s="4" t="s">
        <v>136</v>
      </c>
      <c r="X157" s="4" t="str">
        <f ca="1">IF(ATALI[[#This Row],[N.B.nota]]="","",ADDRESS(ROW(ATALI[QB]),COLUMN(ATALI[QB]))&amp;":"&amp;ADDRESS(ROW(),COLUMN(ATALI[QB])))</f>
        <v/>
      </c>
      <c r="Y157" s="14" t="str">
        <f ca="1">IF(ATALI[[#This Row],[//]]="","",HYPERLINK("[../DB.xlsx]DB!e"&amp;MATCH(ATALI[[#This Row],[concat]],[4]!db[NB NOTA_C],0)+1,"&gt;"))</f>
        <v/>
      </c>
    </row>
    <row r="158" spans="1:25" x14ac:dyDescent="0.25">
      <c r="A158" s="4" t="s">
        <v>113</v>
      </c>
      <c r="B158" s="6">
        <f ca="1">IF(ATALI[[#This Row],[N_ID]]="","",INDEX(Table1[ID],MATCH(ATALI[[#This Row],[N_ID]],Table1[N_ID],0)))</f>
        <v>159</v>
      </c>
      <c r="C158" s="6" t="str">
        <f ca="1">IF(ATALI[[#This Row],[ID NOTA]]="","",HYPERLINK("[NOTA_.xlsx]NOTA!e"&amp;INDEX([6]!PAJAK[//],MATCH(ATALI[[#This Row],[ID NOTA]],[6]!PAJAK[ID],0)),"&gt;") )</f>
        <v>&gt;</v>
      </c>
      <c r="D158" s="6">
        <f ca="1">IF(ATALI[[#This Row],[ID NOTA]]="","",INDEX(Table1[QB],MATCH(ATALI[[#This Row],[ID NOTA]],Table1[ID],0)))</f>
        <v>11</v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822</v>
      </c>
      <c r="F158" s="6"/>
      <c r="G158" s="3">
        <f ca="1">IF(ATALI[[#This Row],[ID NOTA]]="","",INDEX([6]!NOTA[TGL_H],MATCH(ATALI[[#This Row],[ID NOTA]],[6]!NOTA[ID],0)))</f>
        <v>44769</v>
      </c>
      <c r="H158" s="3">
        <f ca="1">IF(ATALI[[#This Row],[ID NOTA]]="","",INDEX([6]!NOTA[TGL.NOTA],MATCH(ATALI[[#This Row],[ID NOTA]],[6]!NOTA[ID],0)))</f>
        <v>44763</v>
      </c>
      <c r="I158" s="4" t="str">
        <f ca="1">IF(ATALI[[#This Row],[ID NOTA]]="","",INDEX([6]!NOTA[NO.NOTA],MATCH(ATALI[[#This Row],[ID NOTA]],[6]!NOTA[ID],0)))</f>
        <v>SA220710560</v>
      </c>
      <c r="J158" s="4" t="s">
        <v>303</v>
      </c>
      <c r="K158" s="6">
        <f ca="1">IF(ATALI[[#This Row],[//]]="","",IF(INDEX([6]!NOTA[C],ATALI[[#This Row],[//]]-2)="","",INDEX([6]!NOTA[C],ATALI[[#This Row],[//]]-2)))</f>
        <v>1</v>
      </c>
      <c r="L158" s="6">
        <f ca="1">IF(ATALI[[#This Row],[//]]="","",INDEX([6]!NOTA[QTY],ATALI[[#This Row],[//]]-2))</f>
        <v>72</v>
      </c>
      <c r="M158" s="6" t="str">
        <f ca="1">IF(ATALI[[#This Row],[//]]="","",INDEX([6]!NOTA[STN],ATALI[[#This Row],[//]]-2))</f>
        <v>PCS</v>
      </c>
      <c r="N158" s="5">
        <f ca="1">IF(ATALI[[#This Row],[//]]="","",INDEX([6]!NOTA[HARGA SATUAN],ATALI[[#This Row],[//]]-2))</f>
        <v>15800</v>
      </c>
      <c r="O158" s="8">
        <f ca="1">IF(ATALI[[#This Row],[//]]="","",INDEX([6]!NOTA[DISC 1],ATALI[[#This Row],[//]]-2))</f>
        <v>0.125</v>
      </c>
      <c r="P158" s="8">
        <f ca="1">IF(ATALI[[#This Row],[//]]="","",INDEX([6]!NOTA[DISC 2],ATALI[[#This Row],[//]]-2))</f>
        <v>0.05</v>
      </c>
      <c r="Q158" s="5">
        <f ca="1">IF(ATALI[[#This Row],[//]]="","",INDEX([6]!NOTA[TOTAL],ATALI[[#This Row],[//]]-2))</f>
        <v>945630</v>
      </c>
      <c r="R1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Row],[//]]="","",INDEX([6]!NOTA[NAMA BARANG],ATALI[[#This Row],[//]]-2))</f>
        <v>BINDER A5-TSCS-M432 (CLASSIC) JK-U</v>
      </c>
      <c r="V158" s="4" t="str">
        <f ca="1">LOWER(SUBSTITUTE(SUBSTITUTE(SUBSTITUTE(SUBSTITUTE(SUBSTITUTE(SUBSTITUTE(SUBSTITUTE(ATALI[[#This Row],[N.B.nota]]," ",""),"-",""),"(",""),")",""),".",""),",",""),"/",""))</f>
        <v>bindera5tscsm432classicjku</v>
      </c>
      <c r="W158" s="4" t="s">
        <v>137</v>
      </c>
      <c r="X158" s="4" t="str">
        <f ca="1">IF(ATALI[[#This Row],[N.B.nota]]="","",ADDRESS(ROW(ATALI[QB]),COLUMN(ATALI[QB]))&amp;":"&amp;ADDRESS(ROW(),COLUMN(ATALI[QB])))</f>
        <v>$D$3:$D$158</v>
      </c>
      <c r="Y158" s="14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NOTA]]="","",HYPERLINK("[NOTA_.xlsx]NOTA!e"&amp;INDEX([6]!PAJAK[//],MATCH(ATALI[[#This Row],[ID NOTA]],[6]!PAJAK[ID],0)),"&gt;")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823</v>
      </c>
      <c r="F159" s="6"/>
      <c r="G159" s="3" t="str">
        <f>IF(ATALI[[#This Row],[ID NOTA]]="","",INDEX([6]!NOTA[TGL_H],MATCH(ATALI[[#This Row],[ID NOTA]],[6]!NOTA[ID],0)))</f>
        <v/>
      </c>
      <c r="H159" s="3" t="str">
        <f>IF(ATALI[[#This Row],[ID NOTA]]="","",INDEX([6]!NOTA[TGL.NOTA],MATCH(ATALI[[#This Row],[ID NOTA]],[6]!NOTA[ID],0)))</f>
        <v/>
      </c>
      <c r="I159" s="4" t="str">
        <f>IF(ATALI[[#This Row],[ID NOTA]]="","",INDEX([6]!NOTA[NO.NOTA],MATCH(ATALI[[#This Row],[ID NOTA]],[6]!NOTA[ID],0)))</f>
        <v/>
      </c>
      <c r="J159" s="4" t="s">
        <v>290</v>
      </c>
      <c r="K159" s="6">
        <f ca="1">IF(ATALI[[#This Row],[//]]="","",IF(INDEX([6]!NOTA[C],ATALI[[#This Row],[//]]-2)="","",INDEX([6]!NOTA[C],ATALI[[#This Row],[//]]-2)))</f>
        <v>1</v>
      </c>
      <c r="L159" s="6">
        <f ca="1">IF(ATALI[[#This Row],[//]]="","",INDEX([6]!NOTA[QTY],ATALI[[#This Row],[//]]-2))</f>
        <v>72</v>
      </c>
      <c r="M159" s="6" t="str">
        <f ca="1">IF(ATALI[[#This Row],[//]]="","",INDEX([6]!NOTA[STN],ATALI[[#This Row],[//]]-2))</f>
        <v>PCS</v>
      </c>
      <c r="N159" s="5">
        <f ca="1">IF(ATALI[[#This Row],[//]]="","",INDEX([6]!NOTA[HARGA SATUAN],ATALI[[#This Row],[//]]-2))</f>
        <v>15800</v>
      </c>
      <c r="O159" s="8">
        <f ca="1">IF(ATALI[[#This Row],[//]]="","",INDEX([6]!NOTA[DISC 1],ATALI[[#This Row],[//]]-2))</f>
        <v>0.125</v>
      </c>
      <c r="P159" s="8">
        <f ca="1">IF(ATALI[[#This Row],[//]]="","",INDEX([6]!NOTA[DISC 2],ATALI[[#This Row],[//]]-2))</f>
        <v>0.05</v>
      </c>
      <c r="Q159" s="5">
        <f ca="1">IF(ATALI[[#This Row],[//]]="","",INDEX([6]!NOTA[TOTAL],ATALI[[#This Row],[//]]-2))</f>
        <v>945630</v>
      </c>
      <c r="R1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4" t="str">
        <f ca="1">IF(ATALI[[#This Row],[//]]="","",INDEX([6]!NOTA[NAMA BARANG],ATALI[[#This Row],[//]]-2))</f>
        <v>BINDER A5-TSDS-M440 (DISCOVERY) JK-U</v>
      </c>
      <c r="V159" s="4" t="str">
        <f ca="1">LOWER(SUBSTITUTE(SUBSTITUTE(SUBSTITUTE(SUBSTITUTE(SUBSTITUTE(SUBSTITUTE(SUBSTITUTE(ATALI[[#This Row],[N.B.nota]]," ",""),"-",""),"(",""),")",""),".",""),",",""),"/",""))</f>
        <v>bindera5tsdsm440discoveryjku</v>
      </c>
      <c r="W159" s="4" t="s">
        <v>137</v>
      </c>
      <c r="X159" s="4" t="str">
        <f ca="1">IF(ATALI[[#This Row],[N.B.nota]]="","",ADDRESS(ROW(ATALI[QB]),COLUMN(ATALI[QB]))&amp;":"&amp;ADDRESS(ROW(),COLUMN(ATALI[QB])))</f>
        <v>$D$3:$D$159</v>
      </c>
      <c r="Y159" s="14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NOTA]]="","",HYPERLINK("[NOTA_.xlsx]NOTA!e"&amp;INDEX([6]!PAJAK[//],MATCH(ATALI[[#This Row],[ID NOTA]],[6]!PAJAK[ID],0)),"&gt;") )</f>
        <v/>
      </c>
      <c r="D160" s="6" t="str">
        <f>IF(ATALI[[#This Row],[ID NOTA]]="","",INDEX(Table1[QB],MATCH(ATALI[[#This Row],[ID NOTA]],Table1[ID],0)))</f>
        <v/>
      </c>
      <c r="E1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824</v>
      </c>
      <c r="F160" s="6"/>
      <c r="G160" s="3" t="str">
        <f>IF(ATALI[[#This Row],[ID NOTA]]="","",INDEX([6]!NOTA[TGL_H],MATCH(ATALI[[#This Row],[ID NOTA]],[6]!NOTA[ID],0)))</f>
        <v/>
      </c>
      <c r="H160" s="3" t="str">
        <f>IF(ATALI[[#This Row],[ID NOTA]]="","",INDEX([6]!NOTA[TGL.NOTA],MATCH(ATALI[[#This Row],[ID NOTA]],[6]!NOTA[ID],0)))</f>
        <v/>
      </c>
      <c r="I160" s="4" t="str">
        <f>IF(ATALI[[#This Row],[ID NOTA]]="","",INDEX([6]!NOTA[NO.NOTA],MATCH(ATALI[[#This Row],[ID NOTA]],[6]!NOTA[ID],0)))</f>
        <v/>
      </c>
      <c r="J160" s="4" t="s">
        <v>328</v>
      </c>
      <c r="K160" s="6">
        <f ca="1">IF(ATALI[[#This Row],[//]]="","",IF(INDEX([6]!NOTA[C],ATALI[[#This Row],[//]]-2)="","",INDEX([6]!NOTA[C],ATALI[[#This Row],[//]]-2)))</f>
        <v>1</v>
      </c>
      <c r="L160" s="6">
        <f ca="1">IF(ATALI[[#This Row],[//]]="","",INDEX([6]!NOTA[QTY],ATALI[[#This Row],[//]]-2))</f>
        <v>72</v>
      </c>
      <c r="M160" s="6" t="str">
        <f ca="1">IF(ATALI[[#This Row],[//]]="","",INDEX([6]!NOTA[STN],ATALI[[#This Row],[//]]-2))</f>
        <v>PCS</v>
      </c>
      <c r="N160" s="5">
        <f ca="1">IF(ATALI[[#This Row],[//]]="","",INDEX([6]!NOTA[HARGA SATUAN],ATALI[[#This Row],[//]]-2))</f>
        <v>15800</v>
      </c>
      <c r="O160" s="8">
        <f ca="1">IF(ATALI[[#This Row],[//]]="","",INDEX([6]!NOTA[DISC 1],ATALI[[#This Row],[//]]-2))</f>
        <v>0.125</v>
      </c>
      <c r="P160" s="8">
        <f ca="1">IF(ATALI[[#This Row],[//]]="","",INDEX([6]!NOTA[DISC 2],ATALI[[#This Row],[//]]-2))</f>
        <v>0.05</v>
      </c>
      <c r="Q160" s="5">
        <f ca="1">IF(ATALI[[#This Row],[//]]="","",INDEX([6]!NOTA[TOTAL],ATALI[[#This Row],[//]]-2))</f>
        <v>945630</v>
      </c>
      <c r="R1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Row],[//]]="","",INDEX([6]!NOTA[NAMA BARANG],ATALI[[#This Row],[//]]-2))</f>
        <v>BINDER A5-TSFS-S14 (FRIENDSHIP) JK-U</v>
      </c>
      <c r="V160" s="4" t="str">
        <f ca="1">LOWER(SUBSTITUTE(SUBSTITUTE(SUBSTITUTE(SUBSTITUTE(SUBSTITUTE(SUBSTITUTE(SUBSTITUTE(ATALI[[#This Row],[N.B.nota]]," ",""),"-",""),"(",""),")",""),".",""),",",""),"/",""))</f>
        <v>bindera5tsfss14friendshipjku</v>
      </c>
      <c r="W160" s="4" t="s">
        <v>137</v>
      </c>
      <c r="X160" s="4" t="str">
        <f ca="1">IF(ATALI[[#This Row],[N.B.nota]]="","",ADDRESS(ROW(ATALI[QB]),COLUMN(ATALI[QB]))&amp;":"&amp;ADDRESS(ROW(),COLUMN(ATALI[QB])))</f>
        <v>$D$3:$D$160</v>
      </c>
      <c r="Y160" s="14" t="str">
        <f ca="1">IF(ATALI[[#This Row],[//]]="","",HYPERLINK("[../DB.xlsx]DB!e"&amp;MATCH(ATALI[[#This Row],[concat]],[4]!db[NB NOTA_C],0)+1,"&gt;"))</f>
        <v>&gt;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NOTA]]="","",HYPERLINK("[NOTA_.xlsx]NOTA!e"&amp;INDEX([6]!PAJAK[//],MATCH(ATALI[[#This Row],[ID NOTA]],[6]!PAJAK[ID],0)),"&gt;") )</f>
        <v/>
      </c>
      <c r="D161" s="6" t="str">
        <f>IF(ATALI[[#This Row],[ID NOTA]]="","",INDEX(Table1[QB],MATCH(ATALI[[#This Row],[ID NOTA]],Table1[ID],0)))</f>
        <v/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825</v>
      </c>
      <c r="F161" s="6"/>
      <c r="G161" s="3" t="str">
        <f>IF(ATALI[[#This Row],[ID NOTA]]="","",INDEX([6]!NOTA[TGL_H],MATCH(ATALI[[#This Row],[ID NOTA]],[6]!NOTA[ID],0)))</f>
        <v/>
      </c>
      <c r="H161" s="3" t="str">
        <f>IF(ATALI[[#This Row],[ID NOTA]]="","",INDEX([6]!NOTA[TGL.NOTA],MATCH(ATALI[[#This Row],[ID NOTA]],[6]!NOTA[ID],0)))</f>
        <v/>
      </c>
      <c r="I161" s="4" t="str">
        <f>IF(ATALI[[#This Row],[ID NOTA]]="","",INDEX([6]!NOTA[NO.NOTA],MATCH(ATALI[[#This Row],[ID NOTA]],[6]!NOTA[ID],0)))</f>
        <v/>
      </c>
      <c r="J161" s="4" t="s">
        <v>305</v>
      </c>
      <c r="K161" s="6">
        <f ca="1">IF(ATALI[[#This Row],[//]]="","",IF(INDEX([6]!NOTA[C],ATALI[[#This Row],[//]]-2)="","",INDEX([6]!NOTA[C],ATALI[[#This Row],[//]]-2)))</f>
        <v>1</v>
      </c>
      <c r="L161" s="6">
        <f ca="1">IF(ATALI[[#This Row],[//]]="","",INDEX([6]!NOTA[QTY],ATALI[[#This Row],[//]]-2))</f>
        <v>72</v>
      </c>
      <c r="M161" s="6" t="str">
        <f ca="1">IF(ATALI[[#This Row],[//]]="","",INDEX([6]!NOTA[STN],ATALI[[#This Row],[//]]-2))</f>
        <v>PCS</v>
      </c>
      <c r="N161" s="5">
        <f ca="1">IF(ATALI[[#This Row],[//]]="","",INDEX([6]!NOTA[HARGA SATUAN],ATALI[[#This Row],[//]]-2))</f>
        <v>15800</v>
      </c>
      <c r="O161" s="8">
        <f ca="1">IF(ATALI[[#This Row],[//]]="","",INDEX([6]!NOTA[DISC 1],ATALI[[#This Row],[//]]-2))</f>
        <v>0.125</v>
      </c>
      <c r="P161" s="8">
        <f ca="1">IF(ATALI[[#This Row],[//]]="","",INDEX([6]!NOTA[DISC 2],ATALI[[#This Row],[//]]-2))</f>
        <v>0.05</v>
      </c>
      <c r="Q161" s="5">
        <f ca="1">IF(ATALI[[#This Row],[//]]="","",INDEX([6]!NOTA[TOTAL],ATALI[[#This Row],[//]]-2))</f>
        <v>945630</v>
      </c>
      <c r="R1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Row],[//]]="","",INDEX([6]!NOTA[NAMA BARANG],ATALI[[#This Row],[//]]-2))</f>
        <v>BINDER A5-TSBS-M376 (BASIC) JK-U</v>
      </c>
      <c r="V161" s="4" t="str">
        <f ca="1">LOWER(SUBSTITUTE(SUBSTITUTE(SUBSTITUTE(SUBSTITUTE(SUBSTITUTE(SUBSTITUTE(SUBSTITUTE(ATALI[[#This Row],[N.B.nota]]," ",""),"-",""),"(",""),")",""),".",""),",",""),"/",""))</f>
        <v>bindera5tsbsm376basicjku</v>
      </c>
      <c r="W161" s="4" t="s">
        <v>137</v>
      </c>
      <c r="X161" s="4" t="str">
        <f ca="1">IF(ATALI[[#This Row],[N.B.nota]]="","",ADDRESS(ROW(ATALI[QB]),COLUMN(ATALI[QB]))&amp;":"&amp;ADDRESS(ROW(),COLUMN(ATALI[QB])))</f>
        <v>$D$3:$D$161</v>
      </c>
      <c r="Y161" s="14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NOTA]]="","",HYPERLINK("[NOTA_.xlsx]NOTA!e"&amp;INDEX([6]!PAJAK[//],MATCH(ATALI[[#This Row],[ID NOTA]],[6]!PAJAK[ID],0)),"&gt;") )</f>
        <v/>
      </c>
      <c r="D162" s="6" t="str">
        <f>IF(ATALI[[#This Row],[ID NOTA]]="","",INDEX(Table1[QB],MATCH(ATALI[[#This Row],[ID NOTA]],Table1[ID],0)))</f>
        <v/>
      </c>
      <c r="E1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826</v>
      </c>
      <c r="F162" s="6"/>
      <c r="G162" s="3" t="str">
        <f>IF(ATALI[[#This Row],[ID NOTA]]="","",INDEX([6]!NOTA[TGL_H],MATCH(ATALI[[#This Row],[ID NOTA]],[6]!NOTA[ID],0)))</f>
        <v/>
      </c>
      <c r="H162" s="3" t="str">
        <f>IF(ATALI[[#This Row],[ID NOTA]]="","",INDEX([6]!NOTA[TGL.NOTA],MATCH(ATALI[[#This Row],[ID NOTA]],[6]!NOTA[ID],0)))</f>
        <v/>
      </c>
      <c r="I162" s="4" t="str">
        <f>IF(ATALI[[#This Row],[ID NOTA]]="","",INDEX([6]!NOTA[NO.NOTA],MATCH(ATALI[[#This Row],[ID NOTA]],[6]!NOTA[ID],0)))</f>
        <v/>
      </c>
      <c r="J162" s="4" t="s">
        <v>291</v>
      </c>
      <c r="K162" s="6">
        <f ca="1">IF(ATALI[[#This Row],[//]]="","",IF(INDEX([6]!NOTA[C],ATALI[[#This Row],[//]]-2)="","",INDEX([6]!NOTA[C],ATALI[[#This Row],[//]]-2)))</f>
        <v>1</v>
      </c>
      <c r="L162" s="6">
        <f ca="1">IF(ATALI[[#This Row],[//]]="","",INDEX([6]!NOTA[QTY],ATALI[[#This Row],[//]]-2))</f>
        <v>72</v>
      </c>
      <c r="M162" s="6" t="str">
        <f ca="1">IF(ATALI[[#This Row],[//]]="","",INDEX([6]!NOTA[STN],ATALI[[#This Row],[//]]-2))</f>
        <v>PCS</v>
      </c>
      <c r="N162" s="5">
        <f ca="1">IF(ATALI[[#This Row],[//]]="","",INDEX([6]!NOTA[HARGA SATUAN],ATALI[[#This Row],[//]]-2))</f>
        <v>15800</v>
      </c>
      <c r="O162" s="8">
        <f ca="1">IF(ATALI[[#This Row],[//]]="","",INDEX([6]!NOTA[DISC 1],ATALI[[#This Row],[//]]-2))</f>
        <v>0.125</v>
      </c>
      <c r="P162" s="8">
        <f ca="1">IF(ATALI[[#This Row],[//]]="","",INDEX([6]!NOTA[DISC 2],ATALI[[#This Row],[//]]-2))</f>
        <v>0.05</v>
      </c>
      <c r="Q162" s="5">
        <f ca="1">IF(ATALI[[#This Row],[//]]="","",INDEX([6]!NOTA[TOTAL],ATALI[[#This Row],[//]]-2))</f>
        <v>945630</v>
      </c>
      <c r="R1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Row],[//]]="","",INDEX([6]!NOTA[NAMA BARANG],ATALI[[#This Row],[//]]-2))</f>
        <v>BINDER A5-TSCL-M491 (COLLEGE) JK-U</v>
      </c>
      <c r="V162" s="4" t="str">
        <f ca="1">LOWER(SUBSTITUTE(SUBSTITUTE(SUBSTITUTE(SUBSTITUTE(SUBSTITUTE(SUBSTITUTE(SUBSTITUTE(ATALI[[#This Row],[N.B.nota]]," ",""),"-",""),"(",""),")",""),".",""),",",""),"/",""))</f>
        <v>bindera5tsclm491collegejku</v>
      </c>
      <c r="W162" s="4" t="s">
        <v>137</v>
      </c>
      <c r="X162" s="4" t="str">
        <f ca="1">IF(ATALI[[#This Row],[N.B.nota]]="","",ADDRESS(ROW(ATALI[QB]),COLUMN(ATALI[QB]))&amp;":"&amp;ADDRESS(ROW(),COLUMN(ATALI[QB])))</f>
        <v>$D$3:$D$162</v>
      </c>
      <c r="Y162" s="14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4"/>
      <c r="B163" s="6" t="str">
        <f>IF(ATALI[[#This Row],[N_ID]]="","",INDEX(Table1[ID],MATCH(ATALI[[#This Row],[N_ID]],Table1[N_ID],0)))</f>
        <v/>
      </c>
      <c r="C163" s="6" t="str">
        <f>IF(ATALI[[#This Row],[ID NOTA]]="","",HYPERLINK("[NOTA_.xlsx]NOTA!e"&amp;INDEX([6]!PAJAK[//],MATCH(ATALI[[#This Row],[ID NOTA]],[6]!PAJAK[ID],0)),"&gt;") )</f>
        <v/>
      </c>
      <c r="D163" s="6" t="str">
        <f>IF(ATALI[[#This Row],[ID NOTA]]="","",INDEX(Table1[QB],MATCH(ATALI[[#This Row],[ID NOTA]],Table1[ID],0)))</f>
        <v/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827</v>
      </c>
      <c r="F163" s="6"/>
      <c r="G163" s="3" t="str">
        <f>IF(ATALI[[#This Row],[ID NOTA]]="","",INDEX([6]!NOTA[TGL_H],MATCH(ATALI[[#This Row],[ID NOTA]],[6]!NOTA[ID],0)))</f>
        <v/>
      </c>
      <c r="H163" s="3" t="str">
        <f>IF(ATALI[[#This Row],[ID NOTA]]="","",INDEX([6]!NOTA[TGL.NOTA],MATCH(ATALI[[#This Row],[ID NOTA]],[6]!NOTA[ID],0)))</f>
        <v/>
      </c>
      <c r="I163" s="4" t="str">
        <f>IF(ATALI[[#This Row],[ID NOTA]]="","",INDEX([6]!NOTA[NO.NOTA],MATCH(ATALI[[#This Row],[ID NOTA]],[6]!NOTA[ID],0)))</f>
        <v/>
      </c>
      <c r="J163" s="4" t="s">
        <v>329</v>
      </c>
      <c r="K163" s="6">
        <f ca="1">IF(ATALI[[#This Row],[//]]="","",IF(INDEX([6]!NOTA[C],ATALI[[#This Row],[//]]-2)="","",INDEX([6]!NOTA[C],ATALI[[#This Row],[//]]-2)))</f>
        <v>1</v>
      </c>
      <c r="L163" s="6">
        <f ca="1">IF(ATALI[[#This Row],[//]]="","",INDEX([6]!NOTA[QTY],ATALI[[#This Row],[//]]-2))</f>
        <v>72</v>
      </c>
      <c r="M163" s="6" t="str">
        <f ca="1">IF(ATALI[[#This Row],[//]]="","",INDEX([6]!NOTA[STN],ATALI[[#This Row],[//]]-2))</f>
        <v>PCS</v>
      </c>
      <c r="N163" s="5">
        <f ca="1">IF(ATALI[[#This Row],[//]]="","",INDEX([6]!NOTA[HARGA SATUAN],ATALI[[#This Row],[//]]-2))</f>
        <v>20700</v>
      </c>
      <c r="O163" s="8">
        <f ca="1">IF(ATALI[[#This Row],[//]]="","",INDEX([6]!NOTA[DISC 1],ATALI[[#This Row],[//]]-2))</f>
        <v>0.125</v>
      </c>
      <c r="P163" s="8">
        <f ca="1">IF(ATALI[[#This Row],[//]]="","",INDEX([6]!NOTA[DISC 2],ATALI[[#This Row],[//]]-2))</f>
        <v>0.05</v>
      </c>
      <c r="Q163" s="5">
        <f ca="1">IF(ATALI[[#This Row],[//]]="","",INDEX([6]!NOTA[TOTAL],ATALI[[#This Row],[//]]-2))</f>
        <v>1238895</v>
      </c>
      <c r="R1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Row],[//]]="","",INDEX([6]!NOTA[NAMA BARANG],ATALI[[#This Row],[//]]-2))</f>
        <v>BINDER B5-TSFC-M132 (FACULTY) JK-U</v>
      </c>
      <c r="V163" s="4" t="str">
        <f ca="1">LOWER(SUBSTITUTE(SUBSTITUTE(SUBSTITUTE(SUBSTITUTE(SUBSTITUTE(SUBSTITUTE(SUBSTITUTE(ATALI[[#This Row],[N.B.nota]]," ",""),"-",""),"(",""),")",""),".",""),",",""),"/",""))</f>
        <v>binderb5tsfcm132facultyjku</v>
      </c>
      <c r="W163" s="4" t="s">
        <v>137</v>
      </c>
      <c r="X163" s="4" t="str">
        <f ca="1">IF(ATALI[[#This Row],[N.B.nota]]="","",ADDRESS(ROW(ATALI[QB]),COLUMN(ATALI[QB]))&amp;":"&amp;ADDRESS(ROW(),COLUMN(ATALI[QB])))</f>
        <v>$D$3:$D$163</v>
      </c>
      <c r="Y163" s="14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NOTA]]="","",HYPERLINK("[NOTA_.xlsx]NOTA!e"&amp;INDEX([6]!PAJAK[//],MATCH(ATALI[[#This Row],[ID NOTA]],[6]!PAJAK[ID],0)),"&gt;") )</f>
        <v/>
      </c>
      <c r="D164" s="6" t="str">
        <f>IF(ATALI[[#This Row],[ID NOTA]]="","",INDEX(Table1[QB],MATCH(ATALI[[#This Row],[ID NOTA]],Table1[ID],0)))</f>
        <v/>
      </c>
      <c r="E1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828</v>
      </c>
      <c r="F164" s="6"/>
      <c r="G164" s="3" t="str">
        <f>IF(ATALI[[#This Row],[ID NOTA]]="","",INDEX([6]!NOTA[TGL_H],MATCH(ATALI[[#This Row],[ID NOTA]],[6]!NOTA[ID],0)))</f>
        <v/>
      </c>
      <c r="H164" s="3" t="str">
        <f>IF(ATALI[[#This Row],[ID NOTA]]="","",INDEX([6]!NOTA[TGL.NOTA],MATCH(ATALI[[#This Row],[ID NOTA]],[6]!NOTA[ID],0)))</f>
        <v/>
      </c>
      <c r="I164" s="4" t="str">
        <f>IF(ATALI[[#This Row],[ID NOTA]]="","",INDEX([6]!NOTA[NO.NOTA],MATCH(ATALI[[#This Row],[ID NOTA]],[6]!NOTA[ID],0)))</f>
        <v/>
      </c>
      <c r="J164" s="4" t="s">
        <v>330</v>
      </c>
      <c r="K164" s="6" t="str">
        <f ca="1">IF(ATALI[[#This Row],[//]]="","",IF(INDEX([6]!NOTA[C],ATALI[[#This Row],[//]]-2)="","",INDEX([6]!NOTA[C],ATALI[[#This Row],[//]]-2)))</f>
        <v/>
      </c>
      <c r="L164" s="6">
        <f ca="1">IF(ATALI[[#This Row],[//]]="","",INDEX([6]!NOTA[QTY],ATALI[[#This Row],[//]]-2))</f>
        <v>36</v>
      </c>
      <c r="M164" s="6" t="str">
        <f ca="1">IF(ATALI[[#This Row],[//]]="","",INDEX([6]!NOTA[STN],ATALI[[#This Row],[//]]-2))</f>
        <v>PCS</v>
      </c>
      <c r="N164" s="5">
        <f ca="1">IF(ATALI[[#This Row],[//]]="","",INDEX([6]!NOTA[HARGA SATUAN],ATALI[[#This Row],[//]]-2))</f>
        <v>20700</v>
      </c>
      <c r="O164" s="8">
        <f ca="1">IF(ATALI[[#This Row],[//]]="","",INDEX([6]!NOTA[DISC 1],ATALI[[#This Row],[//]]-2))</f>
        <v>0.125</v>
      </c>
      <c r="P164" s="8">
        <f ca="1">IF(ATALI[[#This Row],[//]]="","",INDEX([6]!NOTA[DISC 2],ATALI[[#This Row],[//]]-2))</f>
        <v>0.05</v>
      </c>
      <c r="Q164" s="5">
        <f ca="1">IF(ATALI[[#This Row],[//]]="","",INDEX([6]!NOTA[TOTAL],ATALI[[#This Row],[//]]-2))</f>
        <v>619447.5</v>
      </c>
      <c r="R1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Row],[//]]="","",INDEX([6]!NOTA[NAMA BARANG],ATALI[[#This Row],[//]]-2))</f>
        <v>BINDER B5-TSBL-M119 (BELIEVE) JK-U</v>
      </c>
      <c r="V164" s="4" t="str">
        <f ca="1">LOWER(SUBSTITUTE(SUBSTITUTE(SUBSTITUTE(SUBSTITUTE(SUBSTITUTE(SUBSTITUTE(SUBSTITUTE(ATALI[[#This Row],[N.B.nota]]," ",""),"-",""),"(",""),")",""),".",""),",",""),"/",""))</f>
        <v>binderb5tsblm119believejku</v>
      </c>
      <c r="W164" s="4" t="s">
        <v>137</v>
      </c>
      <c r="X164" s="4" t="str">
        <f ca="1">IF(ATALI[[#This Row],[N.B.nota]]="","",ADDRESS(ROW(ATALI[QB]),COLUMN(ATALI[QB]))&amp;":"&amp;ADDRESS(ROW(),COLUMN(ATALI[QB])))</f>
        <v>$D$3:$D$164</v>
      </c>
      <c r="Y164" s="14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NOTA]]="","",HYPERLINK("[NOTA_.xlsx]NOTA!e"&amp;INDEX([6]!PAJAK[//],MATCH(ATALI[[#This Row],[ID NOTA]],[6]!PAJAK[ID],0)),"&gt;") )</f>
        <v/>
      </c>
      <c r="D165" s="6" t="str">
        <f>IF(ATALI[[#This Row],[ID NOTA]]="","",INDEX(Table1[QB],MATCH(ATALI[[#This Row],[ID NOTA]],Table1[ID],0)))</f>
        <v/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829</v>
      </c>
      <c r="F165" s="6"/>
      <c r="G165" s="3" t="str">
        <f>IF(ATALI[[#This Row],[ID NOTA]]="","",INDEX([6]!NOTA[TGL_H],MATCH(ATALI[[#This Row],[ID NOTA]],[6]!NOTA[ID],0)))</f>
        <v/>
      </c>
      <c r="H165" s="3" t="str">
        <f>IF(ATALI[[#This Row],[ID NOTA]]="","",INDEX([6]!NOTA[TGL.NOTA],MATCH(ATALI[[#This Row],[ID NOTA]],[6]!NOTA[ID],0)))</f>
        <v/>
      </c>
      <c r="I165" s="4" t="str">
        <f>IF(ATALI[[#This Row],[ID NOTA]]="","",INDEX([6]!NOTA[NO.NOTA],MATCH(ATALI[[#This Row],[ID NOTA]],[6]!NOTA[ID],0)))</f>
        <v/>
      </c>
      <c r="J165" s="4" t="s">
        <v>331</v>
      </c>
      <c r="K165" s="6" t="str">
        <f ca="1">IF(ATALI[[#This Row],[//]]="","",IF(INDEX([6]!NOTA[C],ATALI[[#This Row],[//]]-2)="","",INDEX([6]!NOTA[C],ATALI[[#This Row],[//]]-2)))</f>
        <v/>
      </c>
      <c r="L165" s="6">
        <f ca="1">IF(ATALI[[#This Row],[//]]="","",INDEX([6]!NOTA[QTY],ATALI[[#This Row],[//]]-2))</f>
        <v>36</v>
      </c>
      <c r="M165" s="6" t="str">
        <f ca="1">IF(ATALI[[#This Row],[//]]="","",INDEX([6]!NOTA[STN],ATALI[[#This Row],[//]]-2))</f>
        <v>PCS</v>
      </c>
      <c r="N165" s="5">
        <f ca="1">IF(ATALI[[#This Row],[//]]="","",INDEX([6]!NOTA[HARGA SATUAN],ATALI[[#This Row],[//]]-2))</f>
        <v>20700</v>
      </c>
      <c r="O165" s="8">
        <f ca="1">IF(ATALI[[#This Row],[//]]="","",INDEX([6]!NOTA[DISC 1],ATALI[[#This Row],[//]]-2))</f>
        <v>0.125</v>
      </c>
      <c r="P165" s="8">
        <f ca="1">IF(ATALI[[#This Row],[//]]="","",INDEX([6]!NOTA[DISC 2],ATALI[[#This Row],[//]]-2))</f>
        <v>0.05</v>
      </c>
      <c r="Q165" s="5">
        <f ca="1">IF(ATALI[[#This Row],[//]]="","",INDEX([6]!NOTA[TOTAL],ATALI[[#This Row],[//]]-2))</f>
        <v>619447.5</v>
      </c>
      <c r="R1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Row],[//]]="","",INDEX([6]!NOTA[NAMA BARANG],ATALI[[#This Row],[//]]-2))</f>
        <v>BINDER B5-TSIM-M114 (IMAGE) JK-U</v>
      </c>
      <c r="V165" s="4" t="str">
        <f ca="1">LOWER(SUBSTITUTE(SUBSTITUTE(SUBSTITUTE(SUBSTITUTE(SUBSTITUTE(SUBSTITUTE(SUBSTITUTE(ATALI[[#This Row],[N.B.nota]]," ",""),"-",""),"(",""),")",""),".",""),",",""),"/",""))</f>
        <v>binderb5tsimm114imagejku</v>
      </c>
      <c r="W165" s="4" t="s">
        <v>137</v>
      </c>
      <c r="X165" s="4" t="str">
        <f ca="1">IF(ATALI[[#This Row],[N.B.nota]]="","",ADDRESS(ROW(ATALI[QB]),COLUMN(ATALI[QB]))&amp;":"&amp;ADDRESS(ROW(),COLUMN(ATALI[QB])))</f>
        <v>$D$3:$D$165</v>
      </c>
      <c r="Y165" s="14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NOTA]]="","",HYPERLINK("[NOTA_.xlsx]NOTA!e"&amp;INDEX([6]!PAJAK[//],MATCH(ATALI[[#This Row],[ID NOTA]],[6]!PAJAK[ID],0)),"&gt;")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830</v>
      </c>
      <c r="F166" s="6"/>
      <c r="G166" s="3" t="str">
        <f>IF(ATALI[[#This Row],[ID NOTA]]="","",INDEX([6]!NOTA[TGL_H],MATCH(ATALI[[#This Row],[ID NOTA]],[6]!NOTA[ID],0)))</f>
        <v/>
      </c>
      <c r="H166" s="3" t="str">
        <f>IF(ATALI[[#This Row],[ID NOTA]]="","",INDEX([6]!NOTA[TGL.NOTA],MATCH(ATALI[[#This Row],[ID NOTA]],[6]!NOTA[ID],0)))</f>
        <v/>
      </c>
      <c r="I166" s="4" t="str">
        <f>IF(ATALI[[#This Row],[ID NOTA]]="","",INDEX([6]!NOTA[NO.NOTA],MATCH(ATALI[[#This Row],[ID NOTA]],[6]!NOTA[ID],0)))</f>
        <v/>
      </c>
      <c r="J166" s="4" t="s">
        <v>319</v>
      </c>
      <c r="K166" s="6">
        <f ca="1">IF(ATALI[[#This Row],[//]]="","",IF(INDEX([6]!NOTA[C],ATALI[[#This Row],[//]]-2)="","",INDEX([6]!NOTA[C],ATALI[[#This Row],[//]]-2)))</f>
        <v>1</v>
      </c>
      <c r="L166" s="6">
        <f ca="1">IF(ATALI[[#This Row],[//]]="","",INDEX([6]!NOTA[QTY],ATALI[[#This Row],[//]]-2))</f>
        <v>144</v>
      </c>
      <c r="M166" s="6" t="str">
        <f ca="1">IF(ATALI[[#This Row],[//]]="","",INDEX([6]!NOTA[STN],ATALI[[#This Row],[//]]-2))</f>
        <v>SET</v>
      </c>
      <c r="N166" s="5">
        <f ca="1">IF(ATALI[[#This Row],[//]]="","",INDEX([6]!NOTA[HARGA SATUAN],ATALI[[#This Row],[//]]-2))</f>
        <v>22750</v>
      </c>
      <c r="O166" s="8">
        <f ca="1">IF(ATALI[[#This Row],[//]]="","",INDEX([6]!NOTA[DISC 1],ATALI[[#This Row],[//]]-2))</f>
        <v>0.125</v>
      </c>
      <c r="P166" s="8">
        <f ca="1">IF(ATALI[[#This Row],[//]]="","",INDEX([6]!NOTA[DISC 2],ATALI[[#This Row],[//]]-2))</f>
        <v>0.05</v>
      </c>
      <c r="Q166" s="5">
        <f ca="1">IF(ATALI[[#This Row],[//]]="","",INDEX([6]!NOTA[TOTAL],ATALI[[#This Row],[//]]-2))</f>
        <v>2723175</v>
      </c>
      <c r="R1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Row],[//]]="","",INDEX([6]!NOTA[NAMA BARANG],ATALI[[#This Row],[//]]-2))</f>
        <v>CRAYON PUTAR TWCR-12S JK</v>
      </c>
      <c r="V166" s="4" t="str">
        <f ca="1">LOWER(SUBSTITUTE(SUBSTITUTE(SUBSTITUTE(SUBSTITUTE(SUBSTITUTE(SUBSTITUTE(SUBSTITUTE(ATALI[[#This Row],[N.B.nota]]," ",""),"-",""),"(",""),")",""),".",""),",",""),"/",""))</f>
        <v>crayonputartwcr12sjk</v>
      </c>
      <c r="W166" s="4" t="s">
        <v>137</v>
      </c>
      <c r="X166" s="4" t="str">
        <f ca="1">IF(ATALI[[#This Row],[N.B.nota]]="","",ADDRESS(ROW(ATALI[QB]),COLUMN(ATALI[QB]))&amp;":"&amp;ADDRESS(ROW(),COLUMN(ATALI[QB])))</f>
        <v>$D$3:$D$166</v>
      </c>
      <c r="Y166" s="14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NOTA]]="","",HYPERLINK("[NOTA_.xlsx]NOTA!e"&amp;INDEX([6]!PAJAK[//],MATCH(ATALI[[#This Row],[ID NOTA]],[6]!PAJAK[ID],0)),"&gt;") )</f>
        <v/>
      </c>
      <c r="D167" s="6" t="str">
        <f>IF(ATALI[[#This Row],[ID NOTA]]="","",INDEX(Table1[QB],MATCH(ATALI[[#This Row],[ID NOTA]],Table1[ID],0)))</f>
        <v/>
      </c>
      <c r="E1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831</v>
      </c>
      <c r="F167" s="6"/>
      <c r="G167" s="3" t="str">
        <f>IF(ATALI[[#This Row],[ID NOTA]]="","",INDEX([6]!NOTA[TGL_H],MATCH(ATALI[[#This Row],[ID NOTA]],[6]!NOTA[ID],0)))</f>
        <v/>
      </c>
      <c r="H167" s="3" t="str">
        <f>IF(ATALI[[#This Row],[ID NOTA]]="","",INDEX([6]!NOTA[TGL.NOTA],MATCH(ATALI[[#This Row],[ID NOTA]],[6]!NOTA[ID],0)))</f>
        <v/>
      </c>
      <c r="I167" s="4" t="str">
        <f>IF(ATALI[[#This Row],[ID NOTA]]="","",INDEX([6]!NOTA[NO.NOTA],MATCH(ATALI[[#This Row],[ID NOTA]],[6]!NOTA[ID],0)))</f>
        <v/>
      </c>
      <c r="J167" s="4" t="s">
        <v>307</v>
      </c>
      <c r="K167" s="6">
        <f ca="1">IF(ATALI[[#This Row],[//]]="","",IF(INDEX([6]!NOTA[C],ATALI[[#This Row],[//]]-2)="","",INDEX([6]!NOTA[C],ATALI[[#This Row],[//]]-2)))</f>
        <v>1</v>
      </c>
      <c r="L167" s="6">
        <f ca="1">IF(ATALI[[#This Row],[//]]="","",INDEX([6]!NOTA[QTY],ATALI[[#This Row],[//]]-2))</f>
        <v>144</v>
      </c>
      <c r="M167" s="6" t="str">
        <f ca="1">IF(ATALI[[#This Row],[//]]="","",INDEX([6]!NOTA[STN],ATALI[[#This Row],[//]]-2))</f>
        <v>SET</v>
      </c>
      <c r="N167" s="5">
        <f ca="1">IF(ATALI[[#This Row],[//]]="","",INDEX([6]!NOTA[HARGA SATUAN],ATALI[[#This Row],[//]]-2))</f>
        <v>18000</v>
      </c>
      <c r="O167" s="8">
        <f ca="1">IF(ATALI[[#This Row],[//]]="","",INDEX([6]!NOTA[DISC 1],ATALI[[#This Row],[//]]-2))</f>
        <v>0.125</v>
      </c>
      <c r="P167" s="8">
        <f ca="1">IF(ATALI[[#This Row],[//]]="","",INDEX([6]!NOTA[DISC 2],ATALI[[#This Row],[//]]-2))</f>
        <v>0.05</v>
      </c>
      <c r="Q167" s="5">
        <f ca="1">IF(ATALI[[#This Row],[//]]="","",INDEX([6]!NOTA[TOTAL],ATALI[[#This Row],[//]]-2))</f>
        <v>2154600</v>
      </c>
      <c r="R1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Row],[//]]="","",INDEX([6]!NOTA[NAMA BARANG],ATALI[[#This Row],[//]]-2))</f>
        <v>CRAYON PUTAR TWCR-12MINI JK</v>
      </c>
      <c r="V167" s="4" t="str">
        <f ca="1">LOWER(SUBSTITUTE(SUBSTITUTE(SUBSTITUTE(SUBSTITUTE(SUBSTITUTE(SUBSTITUTE(SUBSTITUTE(ATALI[[#This Row],[N.B.nota]]," ",""),"-",""),"(",""),")",""),".",""),",",""),"/",""))</f>
        <v>crayonputartwcr12minijk</v>
      </c>
      <c r="W167" s="4" t="s">
        <v>137</v>
      </c>
      <c r="X167" s="4" t="str">
        <f ca="1">IF(ATALI[[#This Row],[N.B.nota]]="","",ADDRESS(ROW(ATALI[QB]),COLUMN(ATALI[QB]))&amp;":"&amp;ADDRESS(ROW(),COLUMN(ATALI[QB])))</f>
        <v>$D$3:$D$167</v>
      </c>
      <c r="Y167" s="14" t="str">
        <f ca="1">IF(ATALI[[#This Row],[//]]="","",HYPERLINK("[../DB.xlsx]DB!e"&amp;MATCH(ATALI[[#This Row],[concat]],[4]!db[NB NOTA_C],0)+1,"&gt;"))</f>
        <v>&gt;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NOTA]]="","",HYPERLINK("[NOTA_.xlsx]NOTA!e"&amp;INDEX([6]!PAJAK[//],MATCH(ATALI[[#This Row],[ID NOTA]],[6]!PAJAK[ID],0)),"&gt;") )</f>
        <v/>
      </c>
      <c r="D168" s="6" t="str">
        <f>IF(ATALI[[#This Row],[ID NOTA]]="","",INDEX(Table1[QB],MATCH(ATALI[[#This Row],[ID NOTA]],Table1[ID],0)))</f>
        <v/>
      </c>
      <c r="E1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832</v>
      </c>
      <c r="F168" s="6"/>
      <c r="G168" s="3" t="str">
        <f>IF(ATALI[[#This Row],[ID NOTA]]="","",INDEX([6]!NOTA[TGL_H],MATCH(ATALI[[#This Row],[ID NOTA]],[6]!NOTA[ID],0)))</f>
        <v/>
      </c>
      <c r="H168" s="3" t="str">
        <f>IF(ATALI[[#This Row],[ID NOTA]]="","",INDEX([6]!NOTA[TGL.NOTA],MATCH(ATALI[[#This Row],[ID NOTA]],[6]!NOTA[ID],0)))</f>
        <v/>
      </c>
      <c r="I168" s="4" t="str">
        <f>IF(ATALI[[#This Row],[ID NOTA]]="","",INDEX([6]!NOTA[NO.NOTA],MATCH(ATALI[[#This Row],[ID NOTA]],[6]!NOTA[ID],0)))</f>
        <v/>
      </c>
      <c r="J168" s="4" t="s">
        <v>255</v>
      </c>
      <c r="K168" s="6" t="str">
        <f ca="1">IF(ATALI[[#This Row],[//]]="","",IF(INDEX([6]!NOTA[C],ATALI[[#This Row],[//]]-2)="","",INDEX([6]!NOTA[C],ATALI[[#This Row],[//]]-2)))</f>
        <v/>
      </c>
      <c r="L168" s="6">
        <f ca="1">IF(ATALI[[#This Row],[//]]="","",INDEX([6]!NOTA[QTY],ATALI[[#This Row],[//]]-2))</f>
        <v>12</v>
      </c>
      <c r="M168" s="6" t="str">
        <f ca="1">IF(ATALI[[#This Row],[//]]="","",INDEX([6]!NOTA[STN],ATALI[[#This Row],[//]]-2))</f>
        <v>DZ</v>
      </c>
      <c r="N168" s="5">
        <f ca="1">IF(ATALI[[#This Row],[//]]="","",INDEX([6]!NOTA[HARGA SATUAN],ATALI[[#This Row],[//]]-2))</f>
        <v>12600</v>
      </c>
      <c r="O168" s="8">
        <f ca="1">IF(ATALI[[#This Row],[//]]="","",INDEX([6]!NOTA[DISC 1],ATALI[[#This Row],[//]]-2))</f>
        <v>0.1</v>
      </c>
      <c r="P168" s="8">
        <f ca="1">IF(ATALI[[#This Row],[//]]="","",INDEX([6]!NOTA[DISC 2],ATALI[[#This Row],[//]]-2))</f>
        <v>0.05</v>
      </c>
      <c r="Q168" s="5">
        <f ca="1">IF(ATALI[[#This Row],[//]]="","",INDEX([6]!NOTA[TOTAL],ATALI[[#This Row],[//]]-2))</f>
        <v>129276</v>
      </c>
      <c r="R16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16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12083715</v>
      </c>
      <c r="T168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68" s="4" t="str">
        <f ca="1">IF(ATALI[[#This Row],[//]]="","",INDEX([6]!NOTA[NAMA BARANG],ATALI[[#This Row],[//]]-2))</f>
        <v>BALLPEN BP-338 VOCUS (BLACK) JK</v>
      </c>
      <c r="V168" s="4" t="str">
        <f ca="1">LOWER(SUBSTITUTE(SUBSTITUTE(SUBSTITUTE(SUBSTITUTE(SUBSTITUTE(SUBSTITUTE(SUBSTITUTE(ATALI[[#This Row],[N.B.nota]]," ",""),"-",""),"(",""),")",""),".",""),",",""),"/",""))</f>
        <v>ballpenbp338vocusblackjk</v>
      </c>
      <c r="W168" s="4" t="s">
        <v>137</v>
      </c>
      <c r="X168" s="4" t="str">
        <f ca="1">IF(ATALI[[#This Row],[N.B.nota]]="","",ADDRESS(ROW(ATALI[QB]),COLUMN(ATALI[QB]))&amp;":"&amp;ADDRESS(ROW(),COLUMN(ATALI[QB])))</f>
        <v>$D$3:$D$168</v>
      </c>
      <c r="Y168" s="14" t="str">
        <f ca="1">IF(ATALI[[#This Row],[//]]="","",HYPERLINK("[../DB.xlsx]DB!e"&amp;MATCH(ATALI[[#This Row],[concat]],[4]!db[NB NOTA_C],0)+1,"&gt;"))</f>
        <v>&gt;</v>
      </c>
    </row>
    <row r="169" spans="1:25" x14ac:dyDescent="0.25">
      <c r="A169" s="4"/>
      <c r="B169" s="6" t="str">
        <f>IF(ATALI[[#This Row],[N_ID]]="","",INDEX(Table1[ID],MATCH(ATALI[[#This Row],[N_ID]],Table1[N_ID],0)))</f>
        <v/>
      </c>
      <c r="C169" s="6" t="str">
        <f>IF(ATALI[[#This Row],[ID NOTA]]="","",HYPERLINK("[NOTA_.xlsx]NOTA!e"&amp;INDEX([6]!PAJAK[//],MATCH(ATALI[[#This Row],[ID NOTA]],[6]!PAJAK[ID],0)),"&gt;") )</f>
        <v/>
      </c>
      <c r="D169" s="6" t="str">
        <f>IF(ATALI[[#This Row],[ID NOTA]]="","",INDEX(Table1[QB],MATCH(ATALI[[#This Row],[ID NOTA]],Table1[ID],0)))</f>
        <v/>
      </c>
      <c r="E1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9" s="6"/>
      <c r="G169" s="3" t="str">
        <f>IF(ATALI[[#This Row],[ID NOTA]]="","",INDEX([6]!NOTA[TGL_H],MATCH(ATALI[[#This Row],[ID NOTA]],[6]!NOTA[ID],0)))</f>
        <v/>
      </c>
      <c r="H169" s="3" t="str">
        <f>IF(ATALI[[#This Row],[ID NOTA]]="","",INDEX([6]!NOTA[TGL.NOTA],MATCH(ATALI[[#This Row],[ID NOTA]],[6]!NOTA[ID],0)))</f>
        <v/>
      </c>
      <c r="I169" s="4" t="str">
        <f>IF(ATALI[[#This Row],[ID NOTA]]="","",INDEX([6]!NOTA[NO.NOTA],MATCH(ATALI[[#This Row],[ID NOTA]],[6]!NOTA[ID],0)))</f>
        <v/>
      </c>
      <c r="J169" s="4" t="s">
        <v>136</v>
      </c>
      <c r="K169" s="6" t="str">
        <f ca="1">IF(ATALI[[#This Row],[//]]="","",IF(INDEX([6]!NOTA[C],ATALI[[#This Row],[//]]-2)="","",INDEX([6]!NOTA[C],ATALI[[#This Row],[//]]-2)))</f>
        <v/>
      </c>
      <c r="L169" s="6" t="str">
        <f ca="1">IF(ATALI[[#This Row],[//]]="","",INDEX([6]!NOTA[QTY],ATALI[[#This Row],[//]]-2))</f>
        <v/>
      </c>
      <c r="M169" s="6" t="str">
        <f ca="1">IF(ATALI[[#This Row],[//]]="","",INDEX([6]!NOTA[STN],ATALI[[#This Row],[//]]-2))</f>
        <v/>
      </c>
      <c r="N169" s="5" t="str">
        <f ca="1">IF(ATALI[[#This Row],[//]]="","",INDEX([6]!NOTA[HARGA SATUAN],ATALI[[#This Row],[//]]-2))</f>
        <v/>
      </c>
      <c r="O169" s="8" t="str">
        <f ca="1">IF(ATALI[[#This Row],[//]]="","",INDEX([6]!NOTA[DISC 1],ATALI[[#This Row],[//]]-2))</f>
        <v/>
      </c>
      <c r="P169" s="8" t="str">
        <f ca="1">IF(ATALI[[#This Row],[//]]="","",INDEX([6]!NOTA[DISC 2],ATALI[[#This Row],[//]]-2))</f>
        <v/>
      </c>
      <c r="Q169" s="5" t="str">
        <f ca="1">IF(ATALI[[#This Row],[//]]="","",INDEX([6]!NOTA[TOTAL],ATALI[[#This Row],[//]]-2))</f>
        <v/>
      </c>
      <c r="R1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Row],[//]]="","",INDEX([6]!NOTA[NAMA BARANG],ATALI[[#This Row],[//]]-2))</f>
        <v/>
      </c>
      <c r="V169" s="4" t="str">
        <f ca="1">LOWER(SUBSTITUTE(SUBSTITUTE(SUBSTITUTE(SUBSTITUTE(SUBSTITUTE(SUBSTITUTE(SUBSTITUTE(ATALI[[#This Row],[N.B.nota]]," ",""),"-",""),"(",""),")",""),".",""),",",""),"/",""))</f>
        <v/>
      </c>
      <c r="W169" s="4" t="s">
        <v>136</v>
      </c>
      <c r="X169" s="4" t="str">
        <f ca="1">IF(ATALI[[#This Row],[N.B.nota]]="","",ADDRESS(ROW(ATALI[QB]),COLUMN(ATALI[QB]))&amp;":"&amp;ADDRESS(ROW(),COLUMN(ATALI[QB])))</f>
        <v/>
      </c>
      <c r="Y169" s="14" t="str">
        <f ca="1">IF(ATALI[[#This Row],[//]]="","",HYPERLINK("[../DB.xlsx]DB!e"&amp;MATCH(ATALI[[#This Row],[concat]],[4]!db[NB NOTA_C],0)+1,"&gt;"))</f>
        <v/>
      </c>
    </row>
    <row r="170" spans="1:25" x14ac:dyDescent="0.25">
      <c r="A170" s="4" t="s">
        <v>114</v>
      </c>
      <c r="B170" s="6">
        <f ca="1">IF(ATALI[[#This Row],[N_ID]]="","",INDEX(Table1[ID],MATCH(ATALI[[#This Row],[N_ID]],Table1[N_ID],0)))</f>
        <v>161</v>
      </c>
      <c r="C170" s="6" t="str">
        <f ca="1">IF(ATALI[[#This Row],[ID NOTA]]="","",HYPERLINK("[NOTA_.xlsx]NOTA!e"&amp;INDEX([6]!PAJAK[//],MATCH(ATALI[[#This Row],[ID NOTA]],[6]!PAJAK[ID],0)),"&gt;") )</f>
        <v>&gt;</v>
      </c>
      <c r="D170" s="6">
        <f ca="1">IF(ATALI[[#This Row],[ID NOTA]]="","",INDEX(Table1[QB],MATCH(ATALI[[#This Row],[ID NOTA]],Table1[ID],0)))</f>
        <v>3</v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846</v>
      </c>
      <c r="F170" s="6"/>
      <c r="G170" s="3">
        <f ca="1">IF(ATALI[[#This Row],[ID NOTA]]="","",INDEX([6]!NOTA[TGL_H],MATCH(ATALI[[#This Row],[ID NOTA]],[6]!NOTA[ID],0)))</f>
        <v>44769</v>
      </c>
      <c r="H170" s="3">
        <f ca="1">IF(ATALI[[#This Row],[ID NOTA]]="","",INDEX([6]!NOTA[TGL.NOTA],MATCH(ATALI[[#This Row],[ID NOTA]],[6]!NOTA[ID],0)))</f>
        <v>44763</v>
      </c>
      <c r="I170" s="4" t="str">
        <f ca="1">IF(ATALI[[#This Row],[ID NOTA]]="","",INDEX([6]!NOTA[NO.NOTA],MATCH(ATALI[[#This Row],[ID NOTA]],[6]!NOTA[ID],0)))</f>
        <v>SA220710574</v>
      </c>
      <c r="J170" s="4" t="s">
        <v>332</v>
      </c>
      <c r="K170" s="6">
        <f ca="1">IF(ATALI[[#This Row],[//]]="","",IF(INDEX([6]!NOTA[C],ATALI[[#This Row],[//]]-2)="","",INDEX([6]!NOTA[C],ATALI[[#This Row],[//]]-2)))</f>
        <v>1</v>
      </c>
      <c r="L170" s="6">
        <f ca="1">IF(ATALI[[#This Row],[//]]="","",INDEX([6]!NOTA[QTY],ATALI[[#This Row],[//]]-2))</f>
        <v>144</v>
      </c>
      <c r="M170" s="6" t="str">
        <f ca="1">IF(ATALI[[#This Row],[//]]="","",INDEX([6]!NOTA[STN],ATALI[[#This Row],[//]]-2))</f>
        <v>SET</v>
      </c>
      <c r="N170" s="5">
        <f ca="1">IF(ATALI[[#This Row],[//]]="","",INDEX([6]!NOTA[HARGA SATUAN],ATALI[[#This Row],[//]]-2))</f>
        <v>16900</v>
      </c>
      <c r="O170" s="8">
        <f ca="1">IF(ATALI[[#This Row],[//]]="","",INDEX([6]!NOTA[DISC 1],ATALI[[#This Row],[//]]-2))</f>
        <v>0.125</v>
      </c>
      <c r="P170" s="8">
        <f ca="1">IF(ATALI[[#This Row],[//]]="","",INDEX([6]!NOTA[DISC 2],ATALI[[#This Row],[//]]-2))</f>
        <v>0.05</v>
      </c>
      <c r="Q170" s="5">
        <f ca="1">IF(ATALI[[#This Row],[//]]="","",INDEX([6]!NOTA[TOTAL],ATALI[[#This Row],[//]]-2))</f>
        <v>2022930</v>
      </c>
      <c r="R1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Row],[//]]="","",INDEX([6]!NOTA[NAMA BARANG],ATALI[[#This Row],[//]]-2))</f>
        <v>COLOR PENCIL CP-12TC JK</v>
      </c>
      <c r="V170" s="4" t="str">
        <f ca="1">LOWER(SUBSTITUTE(SUBSTITUTE(SUBSTITUTE(SUBSTITUTE(SUBSTITUTE(SUBSTITUTE(SUBSTITUTE(ATALI[[#This Row],[N.B.nota]]," ",""),"-",""),"(",""),")",""),".",""),",",""),"/",""))</f>
        <v>colorpencilcp12tcjk</v>
      </c>
      <c r="W170" s="4" t="s">
        <v>137</v>
      </c>
      <c r="X170" s="4" t="str">
        <f ca="1">IF(ATALI[[#This Row],[N.B.nota]]="","",ADDRESS(ROW(ATALI[QB]),COLUMN(ATALI[QB]))&amp;":"&amp;ADDRESS(ROW(),COLUMN(ATALI[QB])))</f>
        <v>$D$3:$D$170</v>
      </c>
      <c r="Y170" s="14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NOTA]]="","",HYPERLINK("[NOTA_.xlsx]NOTA!e"&amp;INDEX([6]!PAJAK[//],MATCH(ATALI[[#This Row],[ID NOTA]],[6]!PAJAK[ID],0)),"&gt;") )</f>
        <v/>
      </c>
      <c r="D171" s="6" t="str">
        <f>IF(ATALI[[#This Row],[ID NOTA]]="","",INDEX(Table1[QB],MATCH(ATALI[[#This Row],[ID NOTA]],Table1[ID],0)))</f>
        <v/>
      </c>
      <c r="E1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847</v>
      </c>
      <c r="F171" s="6"/>
      <c r="G171" s="3" t="str">
        <f>IF(ATALI[[#This Row],[ID NOTA]]="","",INDEX([6]!NOTA[TGL_H],MATCH(ATALI[[#This Row],[ID NOTA]],[6]!NOTA[ID],0)))</f>
        <v/>
      </c>
      <c r="H171" s="3" t="str">
        <f>IF(ATALI[[#This Row],[ID NOTA]]="","",INDEX([6]!NOTA[TGL.NOTA],MATCH(ATALI[[#This Row],[ID NOTA]],[6]!NOTA[ID],0)))</f>
        <v/>
      </c>
      <c r="I171" s="4" t="str">
        <f>IF(ATALI[[#This Row],[ID NOTA]]="","",INDEX([6]!NOTA[NO.NOTA],MATCH(ATALI[[#This Row],[ID NOTA]],[6]!NOTA[ID],0)))</f>
        <v/>
      </c>
      <c r="J171" s="4" t="s">
        <v>333</v>
      </c>
      <c r="K171" s="6">
        <f ca="1">IF(ATALI[[#This Row],[//]]="","",IF(INDEX([6]!NOTA[C],ATALI[[#This Row],[//]]-2)="","",INDEX([6]!NOTA[C],ATALI[[#This Row],[//]]-2)))</f>
        <v>1</v>
      </c>
      <c r="L171" s="6">
        <f ca="1">IF(ATALI[[#This Row],[//]]="","",INDEX([6]!NOTA[QTY],ATALI[[#This Row],[//]]-2))</f>
        <v>72</v>
      </c>
      <c r="M171" s="6" t="str">
        <f ca="1">IF(ATALI[[#This Row],[//]]="","",INDEX([6]!NOTA[STN],ATALI[[#This Row],[//]]-2))</f>
        <v>SET</v>
      </c>
      <c r="N171" s="5">
        <f ca="1">IF(ATALI[[#This Row],[//]]="","",INDEX([6]!NOTA[HARGA SATUAN],ATALI[[#This Row],[//]]-2))</f>
        <v>33800</v>
      </c>
      <c r="O171" s="8">
        <f ca="1">IF(ATALI[[#This Row],[//]]="","",INDEX([6]!NOTA[DISC 1],ATALI[[#This Row],[//]]-2))</f>
        <v>0.125</v>
      </c>
      <c r="P171" s="8">
        <f ca="1">IF(ATALI[[#This Row],[//]]="","",INDEX([6]!NOTA[DISC 2],ATALI[[#This Row],[//]]-2))</f>
        <v>0.05</v>
      </c>
      <c r="Q171" s="5">
        <f ca="1">IF(ATALI[[#This Row],[//]]="","",INDEX([6]!NOTA[TOTAL],ATALI[[#This Row],[//]]-2))</f>
        <v>2022930</v>
      </c>
      <c r="R1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Row],[//]]="","",INDEX([6]!NOTA[NAMA BARANG],ATALI[[#This Row],[//]]-2))</f>
        <v>COLOR PENCIL CP-24TC JK</v>
      </c>
      <c r="V171" s="4" t="str">
        <f ca="1">LOWER(SUBSTITUTE(SUBSTITUTE(SUBSTITUTE(SUBSTITUTE(SUBSTITUTE(SUBSTITUTE(SUBSTITUTE(ATALI[[#This Row],[N.B.nota]]," ",""),"-",""),"(",""),")",""),".",""),",",""),"/",""))</f>
        <v>colorpencilcp24tcjk</v>
      </c>
      <c r="W171" s="4" t="s">
        <v>137</v>
      </c>
      <c r="X171" s="4" t="str">
        <f ca="1">IF(ATALI[[#This Row],[N.B.nota]]="","",ADDRESS(ROW(ATALI[QB]),COLUMN(ATALI[QB]))&amp;":"&amp;ADDRESS(ROW(),COLUMN(ATALI[QB])))</f>
        <v>$D$3:$D$171</v>
      </c>
      <c r="Y171" s="14" t="str">
        <f ca="1">IF(ATALI[[#This Row],[//]]="","",HYPERLINK("[../DB.xlsx]DB!e"&amp;MATCH(ATALI[[#This Row],[concat]],[4]!db[NB NOTA_C],0)+1,"&gt;"))</f>
        <v>&gt;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NOTA]]="","",HYPERLINK("[NOTA_.xlsx]NOTA!e"&amp;INDEX([6]!PAJAK[//],MATCH(ATALI[[#This Row],[ID NOTA]],[6]!PAJAK[ID],0)),"&gt;") )</f>
        <v/>
      </c>
      <c r="D172" s="6" t="str">
        <f>IF(ATALI[[#This Row],[ID NOTA]]="","",INDEX(Table1[QB],MATCH(ATALI[[#This Row],[ID NOTA]],Table1[ID],0)))</f>
        <v/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848</v>
      </c>
      <c r="F172" s="6"/>
      <c r="G172" s="3" t="str">
        <f>IF(ATALI[[#This Row],[ID NOTA]]="","",INDEX([6]!NOTA[TGL_H],MATCH(ATALI[[#This Row],[ID NOTA]],[6]!NOTA[ID],0)))</f>
        <v/>
      </c>
      <c r="H172" s="3" t="str">
        <f>IF(ATALI[[#This Row],[ID NOTA]]="","",INDEX([6]!NOTA[TGL.NOTA],MATCH(ATALI[[#This Row],[ID NOTA]],[6]!NOTA[ID],0)))</f>
        <v/>
      </c>
      <c r="I172" s="4" t="str">
        <f>IF(ATALI[[#This Row],[ID NOTA]]="","",INDEX([6]!NOTA[NO.NOTA],MATCH(ATALI[[#This Row],[ID NOTA]],[6]!NOTA[ID],0)))</f>
        <v/>
      </c>
      <c r="J172" s="4" t="s">
        <v>316</v>
      </c>
      <c r="K172" s="6">
        <f ca="1">IF(ATALI[[#This Row],[//]]="","",IF(INDEX([6]!NOTA[C],ATALI[[#This Row],[//]]-2)="","",INDEX([6]!NOTA[C],ATALI[[#This Row],[//]]-2)))</f>
        <v>2</v>
      </c>
      <c r="L172" s="6">
        <f ca="1">IF(ATALI[[#This Row],[//]]="","",INDEX([6]!NOTA[QTY],ATALI[[#This Row],[//]]-2))</f>
        <v>60</v>
      </c>
      <c r="M172" s="6" t="str">
        <f ca="1">IF(ATALI[[#This Row],[//]]="","",INDEX([6]!NOTA[STN],ATALI[[#This Row],[//]]-2))</f>
        <v>GRS</v>
      </c>
      <c r="N172" s="5">
        <f ca="1">IF(ATALI[[#This Row],[//]]="","",INDEX([6]!NOTA[HARGA SATUAN],ATALI[[#This Row],[//]]-2))</f>
        <v>104400</v>
      </c>
      <c r="O172" s="8">
        <f ca="1">IF(ATALI[[#This Row],[//]]="","",INDEX([6]!NOTA[DISC 1],ATALI[[#This Row],[//]]-2))</f>
        <v>0.125</v>
      </c>
      <c r="P172" s="8">
        <f ca="1">IF(ATALI[[#This Row],[//]]="","",INDEX([6]!NOTA[DISC 2],ATALI[[#This Row],[//]]-2))</f>
        <v>0.05</v>
      </c>
      <c r="Q172" s="5">
        <f ca="1">IF(ATALI[[#This Row],[//]]="","",INDEX([6]!NOTA[TOTAL],ATALI[[#This Row],[//]]-2))</f>
        <v>5206950</v>
      </c>
      <c r="R17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7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9252810</v>
      </c>
      <c r="T17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Row],[//]]="","",INDEX([6]!NOTA[NAMA BARANG],ATALI[[#This Row],[//]]-2))</f>
        <v>PENCIL P-88 2B JK</v>
      </c>
      <c r="V172" s="4" t="str">
        <f ca="1">LOWER(SUBSTITUTE(SUBSTITUTE(SUBSTITUTE(SUBSTITUTE(SUBSTITUTE(SUBSTITUTE(SUBSTITUTE(ATALI[[#This Row],[N.B.nota]]," ",""),"-",""),"(",""),")",""),".",""),",",""),"/",""))</f>
        <v>pencilp882bjk</v>
      </c>
      <c r="W172" s="4" t="s">
        <v>137</v>
      </c>
      <c r="X172" s="4" t="str">
        <f ca="1">IF(ATALI[[#This Row],[N.B.nota]]="","",ADDRESS(ROW(ATALI[QB]),COLUMN(ATALI[QB]))&amp;":"&amp;ADDRESS(ROW(),COLUMN(ATALI[QB])))</f>
        <v>$D$3:$D$172</v>
      </c>
      <c r="Y172" s="14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NOTA]]="","",HYPERLINK("[NOTA_.xlsx]NOTA!e"&amp;INDEX([6]!PAJAK[//],MATCH(ATALI[[#This Row],[ID NOTA]],[6]!PAJAK[ID],0)),"&gt;") )</f>
        <v/>
      </c>
      <c r="D173" s="6" t="str">
        <f>IF(ATALI[[#This Row],[ID NOTA]]="","",INDEX(Table1[QB],MATCH(ATALI[[#This Row],[ID NOTA]],Table1[ID],0)))</f>
        <v/>
      </c>
      <c r="E1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3" s="6"/>
      <c r="G173" s="3" t="str">
        <f>IF(ATALI[[#This Row],[ID NOTA]]="","",INDEX([6]!NOTA[TGL_H],MATCH(ATALI[[#This Row],[ID NOTA]],[6]!NOTA[ID],0)))</f>
        <v/>
      </c>
      <c r="H173" s="3" t="str">
        <f>IF(ATALI[[#This Row],[ID NOTA]]="","",INDEX([6]!NOTA[TGL.NOTA],MATCH(ATALI[[#This Row],[ID NOTA]],[6]!NOTA[ID],0)))</f>
        <v/>
      </c>
      <c r="I173" s="4" t="str">
        <f>IF(ATALI[[#This Row],[ID NOTA]]="","",INDEX([6]!NOTA[NO.NOTA],MATCH(ATALI[[#This Row],[ID NOTA]],[6]!NOTA[ID],0)))</f>
        <v/>
      </c>
      <c r="J173" s="4" t="s">
        <v>136</v>
      </c>
      <c r="K173" s="6" t="str">
        <f ca="1">IF(ATALI[[#This Row],[//]]="","",IF(INDEX([6]!NOTA[C],ATALI[[#This Row],[//]]-2)="","",INDEX([6]!NOTA[C],ATALI[[#This Row],[//]]-2)))</f>
        <v/>
      </c>
      <c r="L173" s="6" t="str">
        <f ca="1">IF(ATALI[[#This Row],[//]]="","",INDEX([6]!NOTA[QTY],ATALI[[#This Row],[//]]-2))</f>
        <v/>
      </c>
      <c r="M173" s="6" t="str">
        <f ca="1">IF(ATALI[[#This Row],[//]]="","",INDEX([6]!NOTA[STN],ATALI[[#This Row],[//]]-2))</f>
        <v/>
      </c>
      <c r="N173" s="5" t="str">
        <f ca="1">IF(ATALI[[#This Row],[//]]="","",INDEX([6]!NOTA[HARGA SATUAN],ATALI[[#This Row],[//]]-2))</f>
        <v/>
      </c>
      <c r="O173" s="8" t="str">
        <f ca="1">IF(ATALI[[#This Row],[//]]="","",INDEX([6]!NOTA[DISC 1],ATALI[[#This Row],[//]]-2))</f>
        <v/>
      </c>
      <c r="P173" s="8" t="str">
        <f ca="1">IF(ATALI[[#This Row],[//]]="","",INDEX([6]!NOTA[DISC 2],ATALI[[#This Row],[//]]-2))</f>
        <v/>
      </c>
      <c r="Q173" s="5" t="str">
        <f ca="1">IF(ATALI[[#This Row],[//]]="","",INDEX([6]!NOTA[TOTAL],ATALI[[#This Row],[//]]-2))</f>
        <v/>
      </c>
      <c r="R1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Row],[//]]="","",INDEX([6]!NOTA[NAMA BARANG],ATALI[[#This Row],[//]]-2))</f>
        <v/>
      </c>
      <c r="V173" s="4" t="str">
        <f ca="1">LOWER(SUBSTITUTE(SUBSTITUTE(SUBSTITUTE(SUBSTITUTE(SUBSTITUTE(SUBSTITUTE(SUBSTITUTE(ATALI[[#This Row],[N.B.nota]]," ",""),"-",""),"(",""),")",""),".",""),",",""),"/",""))</f>
        <v/>
      </c>
      <c r="W173" s="4" t="s">
        <v>136</v>
      </c>
      <c r="X173" s="4" t="str">
        <f ca="1">IF(ATALI[[#This Row],[N.B.nota]]="","",ADDRESS(ROW(ATALI[QB]),COLUMN(ATALI[QB]))&amp;":"&amp;ADDRESS(ROW(),COLUMN(ATALI[QB])))</f>
        <v/>
      </c>
      <c r="Y173" s="14" t="str">
        <f ca="1">IF(ATALI[[#This Row],[//]]="","",HYPERLINK("[../DB.xlsx]DB!e"&amp;MATCH(ATALI[[#This Row],[concat]],[4]!db[NB NOTA_C],0)+1,"&gt;"))</f>
        <v/>
      </c>
    </row>
    <row r="174" spans="1:25" x14ac:dyDescent="0.25">
      <c r="A174" s="4" t="s">
        <v>115</v>
      </c>
      <c r="B174" s="6">
        <f ca="1">IF(ATALI[[#This Row],[N_ID]]="","",INDEX(Table1[ID],MATCH(ATALI[[#This Row],[N_ID]],Table1[N_ID],0)))</f>
        <v>162</v>
      </c>
      <c r="C174" s="6" t="str">
        <f ca="1">IF(ATALI[[#This Row],[ID NOTA]]="","",HYPERLINK("[NOTA_.xlsx]NOTA!e"&amp;INDEX([6]!PAJAK[//],MATCH(ATALI[[#This Row],[ID NOTA]],[6]!PAJAK[ID],0)),"&gt;") )</f>
        <v>&gt;</v>
      </c>
      <c r="D174" s="6">
        <f ca="1">IF(ATALI[[#This Row],[ID NOTA]]="","",INDEX(Table1[QB],MATCH(ATALI[[#This Row],[ID NOTA]],Table1[ID],0)))</f>
        <v>1</v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850</v>
      </c>
      <c r="F174" s="6"/>
      <c r="G174" s="3">
        <f ca="1">IF(ATALI[[#This Row],[ID NOTA]]="","",INDEX([6]!NOTA[TGL_H],MATCH(ATALI[[#This Row],[ID NOTA]],[6]!NOTA[ID],0)))</f>
        <v>44769</v>
      </c>
      <c r="H174" s="3">
        <f ca="1">IF(ATALI[[#This Row],[ID NOTA]]="","",INDEX([6]!NOTA[TGL.NOTA],MATCH(ATALI[[#This Row],[ID NOTA]],[6]!NOTA[ID],0)))</f>
        <v>44764</v>
      </c>
      <c r="I174" s="4" t="str">
        <f ca="1">IF(ATALI[[#This Row],[ID NOTA]]="","",INDEX([6]!NOTA[NO.NOTA],MATCH(ATALI[[#This Row],[ID NOTA]],[6]!NOTA[ID],0)))</f>
        <v>SA220710756</v>
      </c>
      <c r="J174" s="4" t="s">
        <v>308</v>
      </c>
      <c r="K174" s="6">
        <f ca="1">IF(ATALI[[#This Row],[//]]="","",IF(INDEX([6]!NOTA[C],ATALI[[#This Row],[//]]-2)="","",INDEX([6]!NOTA[C],ATALI[[#This Row],[//]]-2)))</f>
        <v>5</v>
      </c>
      <c r="L174" s="6">
        <f ca="1">IF(ATALI[[#This Row],[//]]="","",INDEX([6]!NOTA[QTY],ATALI[[#This Row],[//]]-2))</f>
        <v>1440</v>
      </c>
      <c r="M174" s="6" t="str">
        <f ca="1">IF(ATALI[[#This Row],[//]]="","",INDEX([6]!NOTA[STN],ATALI[[#This Row],[//]]-2))</f>
        <v>PCS</v>
      </c>
      <c r="N174" s="5">
        <f ca="1">IF(ATALI[[#This Row],[//]]="","",INDEX([6]!NOTA[HARGA SATUAN],ATALI[[#This Row],[//]]-2))</f>
        <v>4800</v>
      </c>
      <c r="O174" s="8">
        <f ca="1">IF(ATALI[[#This Row],[//]]="","",INDEX([6]!NOTA[DISC 1],ATALI[[#This Row],[//]]-2))</f>
        <v>0.125</v>
      </c>
      <c r="P174" s="8">
        <f ca="1">IF(ATALI[[#This Row],[//]]="","",INDEX([6]!NOTA[DISC 2],ATALI[[#This Row],[//]]-2))</f>
        <v>0.05</v>
      </c>
      <c r="Q174" s="5">
        <f ca="1">IF(ATALI[[#This Row],[//]]="","",INDEX([6]!NOTA[TOTAL],ATALI[[#This Row],[//]]-2))</f>
        <v>5745600</v>
      </c>
      <c r="R17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7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5745600</v>
      </c>
      <c r="T17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Row],[//]]="","",INDEX([6]!NOTA[NAMA BARANG],ATALI[[#This Row],[//]]-2))</f>
        <v>PENCIL CASE PC-0719TV-33A/F (TRAVEL) JK</v>
      </c>
      <c r="V174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74" s="4" t="s">
        <v>137</v>
      </c>
      <c r="X174" s="4" t="str">
        <f ca="1">IF(ATALI[[#This Row],[N.B.nota]]="","",ADDRESS(ROW(ATALI[QB]),COLUMN(ATALI[QB]))&amp;":"&amp;ADDRESS(ROW(),COLUMN(ATALI[QB])))</f>
        <v>$D$3:$D$174</v>
      </c>
      <c r="Y174" s="14" t="str">
        <f ca="1">IF(ATALI[[#This Row],[//]]="","",HYPERLINK("[../DB.xlsx]DB!e"&amp;MATCH(ATALI[[#This Row],[concat]],[4]!db[NB NOTA_C],0)+1,"&gt;"))</f>
        <v>&gt;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NOTA]]="","",HYPERLINK("[NOTA_.xlsx]NOTA!e"&amp;INDEX([6]!PAJAK[//],MATCH(ATALI[[#This Row],[ID NOTA]],[6]!PAJAK[ID],0)),"&gt;") )</f>
        <v/>
      </c>
      <c r="D175" s="6" t="str">
        <f>IF(ATALI[[#This Row],[ID NOTA]]="","",INDEX(Table1[QB],MATCH(ATALI[[#This Row],[ID NOTA]],Table1[ID],0)))</f>
        <v/>
      </c>
      <c r="E1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5" s="6"/>
      <c r="G175" s="3" t="str">
        <f>IF(ATALI[[#This Row],[ID NOTA]]="","",INDEX([6]!NOTA[TGL_H],MATCH(ATALI[[#This Row],[ID NOTA]],[6]!NOTA[ID],0)))</f>
        <v/>
      </c>
      <c r="H175" s="3" t="str">
        <f>IF(ATALI[[#This Row],[ID NOTA]]="","",INDEX([6]!NOTA[TGL.NOTA],MATCH(ATALI[[#This Row],[ID NOTA]],[6]!NOTA[ID],0)))</f>
        <v/>
      </c>
      <c r="I175" s="4" t="str">
        <f>IF(ATALI[[#This Row],[ID NOTA]]="","",INDEX([6]!NOTA[NO.NOTA],MATCH(ATALI[[#This Row],[ID NOTA]],[6]!NOTA[ID],0)))</f>
        <v/>
      </c>
      <c r="J175" s="4" t="s">
        <v>136</v>
      </c>
      <c r="K175" s="6" t="str">
        <f ca="1">IF(ATALI[[#This Row],[//]]="","",IF(INDEX([6]!NOTA[C],ATALI[[#This Row],[//]]-2)="","",INDEX([6]!NOTA[C],ATALI[[#This Row],[//]]-2)))</f>
        <v/>
      </c>
      <c r="L175" s="6" t="str">
        <f ca="1">IF(ATALI[[#This Row],[//]]="","",INDEX([6]!NOTA[QTY],ATALI[[#This Row],[//]]-2))</f>
        <v/>
      </c>
      <c r="M175" s="6" t="str">
        <f ca="1">IF(ATALI[[#This Row],[//]]="","",INDEX([6]!NOTA[STN],ATALI[[#This Row],[//]]-2))</f>
        <v/>
      </c>
      <c r="N175" s="5" t="str">
        <f ca="1">IF(ATALI[[#This Row],[//]]="","",INDEX([6]!NOTA[HARGA SATUAN],ATALI[[#This Row],[//]]-2))</f>
        <v/>
      </c>
      <c r="O175" s="8" t="str">
        <f ca="1">IF(ATALI[[#This Row],[//]]="","",INDEX([6]!NOTA[DISC 1],ATALI[[#This Row],[//]]-2))</f>
        <v/>
      </c>
      <c r="P175" s="8" t="str">
        <f ca="1">IF(ATALI[[#This Row],[//]]="","",INDEX([6]!NOTA[DISC 2],ATALI[[#This Row],[//]]-2))</f>
        <v/>
      </c>
      <c r="Q175" s="5" t="str">
        <f ca="1">IF(ATALI[[#This Row],[//]]="","",INDEX([6]!NOTA[TOTAL],ATALI[[#This Row],[//]]-2))</f>
        <v/>
      </c>
      <c r="R1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Row],[//]]="","",INDEX([6]!NOTA[NAMA BARANG],ATALI[[#This Row],[//]]-2))</f>
        <v/>
      </c>
      <c r="V175" s="4" t="str">
        <f ca="1">LOWER(SUBSTITUTE(SUBSTITUTE(SUBSTITUTE(SUBSTITUTE(SUBSTITUTE(SUBSTITUTE(SUBSTITUTE(ATALI[[#This Row],[N.B.nota]]," ",""),"-",""),"(",""),")",""),".",""),",",""),"/",""))</f>
        <v/>
      </c>
      <c r="W175" s="4" t="s">
        <v>136</v>
      </c>
      <c r="X175" s="4" t="str">
        <f ca="1">IF(ATALI[[#This Row],[N.B.nota]]="","",ADDRESS(ROW(ATALI[QB]),COLUMN(ATALI[QB]))&amp;":"&amp;ADDRESS(ROW(),COLUMN(ATALI[QB])))</f>
        <v/>
      </c>
      <c r="Y175" s="14" t="str">
        <f ca="1">IF(ATALI[[#This Row],[//]]="","",HYPERLINK("[../DB.xlsx]DB!e"&amp;MATCH(ATALI[[#This Row],[concat]],[4]!db[NB NOTA_C],0)+1,"&gt;"))</f>
        <v/>
      </c>
    </row>
    <row r="176" spans="1:25" x14ac:dyDescent="0.25">
      <c r="A176" s="4" t="s">
        <v>124</v>
      </c>
      <c r="B176" s="6">
        <f ca="1">IF(ATALI[[#This Row],[N_ID]]="","",INDEX(Table1[ID],MATCH(ATALI[[#This Row],[N_ID]],Table1[N_ID],0)))</f>
        <v>175</v>
      </c>
      <c r="C176" s="6" t="str">
        <f ca="1">IF(ATALI[[#This Row],[ID NOTA]]="","",HYPERLINK("[NOTA_.xlsx]NOTA!e"&amp;INDEX([6]!PAJAK[//],MATCH(ATALI[[#This Row],[ID NOTA]],[6]!PAJAK[ID],0)),"&gt;") )</f>
        <v>&gt;</v>
      </c>
      <c r="D176" s="6">
        <f ca="1">IF(ATALI[[#This Row],[ID NOTA]]="","",INDEX(Table1[QB],MATCH(ATALI[[#This Row],[ID NOTA]],Table1[ID],0)))</f>
        <v>11</v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923</v>
      </c>
      <c r="F176" s="6"/>
      <c r="G176" s="3">
        <f ca="1">IF(ATALI[[#This Row],[ID NOTA]]="","",INDEX([6]!NOTA[TGL_H],MATCH(ATALI[[#This Row],[ID NOTA]],[6]!NOTA[ID],0)))</f>
        <v>44771</v>
      </c>
      <c r="H176" s="3">
        <f ca="1">IF(ATALI[[#This Row],[ID NOTA]]="","",INDEX([6]!NOTA[TGL.NOTA],MATCH(ATALI[[#This Row],[ID NOTA]],[6]!NOTA[ID],0)))</f>
        <v>44765</v>
      </c>
      <c r="I176" s="4" t="str">
        <f ca="1">IF(ATALI[[#This Row],[ID NOTA]]="","",INDEX([6]!NOTA[NO.NOTA],MATCH(ATALI[[#This Row],[ID NOTA]],[6]!NOTA[ID],0)))</f>
        <v>SA220710797</v>
      </c>
      <c r="J176" s="4" t="s">
        <v>334</v>
      </c>
      <c r="K176" s="6">
        <f ca="1">IF(ATALI[[#This Row],[//]]="","",IF(INDEX([6]!NOTA[C],ATALI[[#This Row],[//]]-2)="","",INDEX([6]!NOTA[C],ATALI[[#This Row],[//]]-2)))</f>
        <v>1</v>
      </c>
      <c r="L176" s="6">
        <f ca="1">IF(ATALI[[#This Row],[//]]="","",INDEX([6]!NOTA[QTY],ATALI[[#This Row],[//]]-2))</f>
        <v>288</v>
      </c>
      <c r="M176" s="6" t="str">
        <f ca="1">IF(ATALI[[#This Row],[//]]="","",INDEX([6]!NOTA[STN],ATALI[[#This Row],[//]]-2))</f>
        <v>PCS</v>
      </c>
      <c r="N176" s="5">
        <f ca="1">IF(ATALI[[#This Row],[//]]="","",INDEX([6]!NOTA[HARGA SATUAN],ATALI[[#This Row],[//]]-2))</f>
        <v>4800</v>
      </c>
      <c r="O176" s="8">
        <f ca="1">IF(ATALI[[#This Row],[//]]="","",INDEX([6]!NOTA[DISC 1],ATALI[[#This Row],[//]]-2))</f>
        <v>0.125</v>
      </c>
      <c r="P176" s="8">
        <f ca="1">IF(ATALI[[#This Row],[//]]="","",INDEX([6]!NOTA[DISC 2],ATALI[[#This Row],[//]]-2))</f>
        <v>0.05</v>
      </c>
      <c r="Q176" s="5">
        <f ca="1">IF(ATALI[[#This Row],[//]]="","",INDEX([6]!NOTA[TOTAL],ATALI[[#This Row],[//]]-2))</f>
        <v>1149120</v>
      </c>
      <c r="R1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Row],[//]]="","",INDEX([6]!NOTA[NAMA BARANG],ATALI[[#This Row],[//]]-2))</f>
        <v>PENCIL CASE PC-0719GZ-34A/F (GOZZY) JK</v>
      </c>
      <c r="V176" s="4" t="str">
        <f ca="1">LOWER(SUBSTITUTE(SUBSTITUTE(SUBSTITUTE(SUBSTITUTE(SUBSTITUTE(SUBSTITUTE(SUBSTITUTE(ATALI[[#This Row],[N.B.nota]]," ",""),"-",""),"(",""),")",""),".",""),",",""),"/",""))</f>
        <v>pencilcasepc0719gz34afgozzyjk</v>
      </c>
      <c r="W176" s="4" t="s">
        <v>137</v>
      </c>
      <c r="X176" s="4" t="str">
        <f ca="1">IF(ATALI[[#This Row],[N.B.nota]]="","",ADDRESS(ROW(ATALI[QB]),COLUMN(ATALI[QB]))&amp;":"&amp;ADDRESS(ROW(),COLUMN(ATALI[QB])))</f>
        <v>$D$3:$D$176</v>
      </c>
      <c r="Y176" s="14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NOTA]]="","",HYPERLINK("[NOTA_.xlsx]NOTA!e"&amp;INDEX([6]!PAJAK[//],MATCH(ATALI[[#This Row],[ID NOTA]],[6]!PAJAK[ID],0)),"&gt;")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924</v>
      </c>
      <c r="F177" s="6"/>
      <c r="G177" s="3" t="str">
        <f>IF(ATALI[[#This Row],[ID NOTA]]="","",INDEX([6]!NOTA[TGL_H],MATCH(ATALI[[#This Row],[ID NOTA]],[6]!NOTA[ID],0)))</f>
        <v/>
      </c>
      <c r="H177" s="3" t="str">
        <f>IF(ATALI[[#This Row],[ID NOTA]]="","",INDEX([6]!NOTA[TGL.NOTA],MATCH(ATALI[[#This Row],[ID NOTA]],[6]!NOTA[ID],0)))</f>
        <v/>
      </c>
      <c r="I177" s="4" t="str">
        <f>IF(ATALI[[#This Row],[ID NOTA]]="","",INDEX([6]!NOTA[NO.NOTA],MATCH(ATALI[[#This Row],[ID NOTA]],[6]!NOTA[ID],0)))</f>
        <v/>
      </c>
      <c r="J177" s="4" t="s">
        <v>315</v>
      </c>
      <c r="K177" s="6">
        <f ca="1">IF(ATALI[[#This Row],[//]]="","",IF(INDEX([6]!NOTA[C],ATALI[[#This Row],[//]]-2)="","",INDEX([6]!NOTA[C],ATALI[[#This Row],[//]]-2)))</f>
        <v>1</v>
      </c>
      <c r="L177" s="6">
        <f ca="1">IF(ATALI[[#This Row],[//]]="","",INDEX([6]!NOTA[QTY],ATALI[[#This Row],[//]]-2))</f>
        <v>40</v>
      </c>
      <c r="M177" s="6" t="str">
        <f ca="1">IF(ATALI[[#This Row],[//]]="","",INDEX([6]!NOTA[STN],ATALI[[#This Row],[//]]-2))</f>
        <v>DZ</v>
      </c>
      <c r="N177" s="5">
        <f ca="1">IF(ATALI[[#This Row],[//]]="","",INDEX([6]!NOTA[HARGA SATUAN],ATALI[[#This Row],[//]]-2))</f>
        <v>49200</v>
      </c>
      <c r="O177" s="8">
        <f ca="1">IF(ATALI[[#This Row],[//]]="","",INDEX([6]!NOTA[DISC 1],ATALI[[#This Row],[//]]-2))</f>
        <v>0.125</v>
      </c>
      <c r="P177" s="8">
        <f ca="1">IF(ATALI[[#This Row],[//]]="","",INDEX([6]!NOTA[DISC 2],ATALI[[#This Row],[//]]-2))</f>
        <v>0.05</v>
      </c>
      <c r="Q177" s="5">
        <f ca="1">IF(ATALI[[#This Row],[//]]="","",INDEX([6]!NOTA[TOTAL],ATALI[[#This Row],[//]]-2))</f>
        <v>1635900</v>
      </c>
      <c r="R17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Row],[//]]="","",INDEX([6]!NOTA[NAMA BARANG],ATALI[[#This Row],[//]]-2))</f>
        <v>CUTTER BLADE L-150 AM (L) JK</v>
      </c>
      <c r="V177" s="4" t="str">
        <f ca="1">LOWER(SUBSTITUTE(SUBSTITUTE(SUBSTITUTE(SUBSTITUTE(SUBSTITUTE(SUBSTITUTE(SUBSTITUTE(ATALI[[#This Row],[N.B.nota]]," ",""),"-",""),"(",""),")",""),".",""),",",""),"/",""))</f>
        <v>cutterbladel150amljk</v>
      </c>
      <c r="W177" s="4" t="s">
        <v>137</v>
      </c>
      <c r="X177" s="4" t="str">
        <f ca="1">IF(ATALI[[#This Row],[N.B.nota]]="","",ADDRESS(ROW(ATALI[QB]),COLUMN(ATALI[QB]))&amp;":"&amp;ADDRESS(ROW(),COLUMN(ATALI[QB])))</f>
        <v>$D$3:$D$177</v>
      </c>
      <c r="Y177" s="14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NOTA]]="","",HYPERLINK("[NOTA_.xlsx]NOTA!e"&amp;INDEX([6]!PAJAK[//],MATCH(ATALI[[#This Row],[ID NOTA]],[6]!PAJAK[ID],0)),"&gt;") )</f>
        <v/>
      </c>
      <c r="D178" s="6" t="str">
        <f>IF(ATALI[[#This Row],[ID NOTA]]="","",INDEX(Table1[QB],MATCH(ATALI[[#This Row],[ID NOTA]],Table1[ID],0)))</f>
        <v/>
      </c>
      <c r="E1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925</v>
      </c>
      <c r="F178" s="6"/>
      <c r="G178" s="3" t="str">
        <f>IF(ATALI[[#This Row],[ID NOTA]]="","",INDEX([6]!NOTA[TGL_H],MATCH(ATALI[[#This Row],[ID NOTA]],[6]!NOTA[ID],0)))</f>
        <v/>
      </c>
      <c r="H178" s="3" t="str">
        <f>IF(ATALI[[#This Row],[ID NOTA]]="","",INDEX([6]!NOTA[TGL.NOTA],MATCH(ATALI[[#This Row],[ID NOTA]],[6]!NOTA[ID],0)))</f>
        <v/>
      </c>
      <c r="I178" s="4" t="str">
        <f>IF(ATALI[[#This Row],[ID NOTA]]="","",INDEX([6]!NOTA[NO.NOTA],MATCH(ATALI[[#This Row],[ID NOTA]],[6]!NOTA[ID],0)))</f>
        <v/>
      </c>
      <c r="J178" s="4" t="s">
        <v>316</v>
      </c>
      <c r="K178" s="6">
        <f ca="1">IF(ATALI[[#This Row],[//]]="","",IF(INDEX([6]!NOTA[C],ATALI[[#This Row],[//]]-2)="","",INDEX([6]!NOTA[C],ATALI[[#This Row],[//]]-2)))</f>
        <v>5</v>
      </c>
      <c r="L178" s="6">
        <f ca="1">IF(ATALI[[#This Row],[//]]="","",INDEX([6]!NOTA[QTY],ATALI[[#This Row],[//]]-2))</f>
        <v>240</v>
      </c>
      <c r="M178" s="6" t="str">
        <f ca="1">IF(ATALI[[#This Row],[//]]="","",INDEX([6]!NOTA[STN],ATALI[[#This Row],[//]]-2))</f>
        <v>GRS</v>
      </c>
      <c r="N178" s="5">
        <f ca="1">IF(ATALI[[#This Row],[//]]="","",INDEX([6]!NOTA[HARGA SATUAN],ATALI[[#This Row],[//]]-2))</f>
        <v>104400</v>
      </c>
      <c r="O178" s="8">
        <f ca="1">IF(ATALI[[#This Row],[//]]="","",INDEX([6]!NOTA[DISC 1],ATALI[[#This Row],[//]]-2))</f>
        <v>0.125</v>
      </c>
      <c r="P178" s="8">
        <f ca="1">IF(ATALI[[#This Row],[//]]="","",INDEX([6]!NOTA[DISC 2],ATALI[[#This Row],[//]]-2))</f>
        <v>0.05</v>
      </c>
      <c r="Q178" s="5">
        <f ca="1">IF(ATALI[[#This Row],[//]]="","",INDEX([6]!NOTA[TOTAL],ATALI[[#This Row],[//]]-2))</f>
        <v>20827800</v>
      </c>
      <c r="R1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Row],[//]]="","",INDEX([6]!NOTA[NAMA BARANG],ATALI[[#This Row],[//]]-2))</f>
        <v>PENCIL P-88 2B JK</v>
      </c>
      <c r="V178" s="4" t="str">
        <f ca="1">LOWER(SUBSTITUTE(SUBSTITUTE(SUBSTITUTE(SUBSTITUTE(SUBSTITUTE(SUBSTITUTE(SUBSTITUTE(ATALI[[#This Row],[N.B.nota]]," ",""),"-",""),"(",""),")",""),".",""),",",""),"/",""))</f>
        <v>pencilp882bjk</v>
      </c>
      <c r="W178" s="4" t="s">
        <v>137</v>
      </c>
      <c r="X178" s="4" t="str">
        <f ca="1">IF(ATALI[[#This Row],[N.B.nota]]="","",ADDRESS(ROW(ATALI[QB]),COLUMN(ATALI[QB]))&amp;":"&amp;ADDRESS(ROW(),COLUMN(ATALI[QB])))</f>
        <v>$D$3:$D$178</v>
      </c>
      <c r="Y178" s="14" t="str">
        <f ca="1">IF(ATALI[[#This Row],[//]]="","",HYPERLINK("[../DB.xlsx]DB!e"&amp;MATCH(ATALI[[#This Row],[concat]],[4]!db[NB NOTA_C],0)+1,"&gt;"))</f>
        <v>&gt;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NOTA]]="","",HYPERLINK("[NOTA_.xlsx]NOTA!e"&amp;INDEX([6]!PAJAK[//],MATCH(ATALI[[#This Row],[ID NOTA]],[6]!PAJAK[ID],0)),"&gt;") )</f>
        <v/>
      </c>
      <c r="D179" s="6" t="str">
        <f>IF(ATALI[[#This Row],[ID NOTA]]="","",INDEX(Table1[QB],MATCH(ATALI[[#This Row],[ID NOTA]],Table1[ID],0)))</f>
        <v/>
      </c>
      <c r="E1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926</v>
      </c>
      <c r="F179" s="6"/>
      <c r="G179" s="3" t="str">
        <f>IF(ATALI[[#This Row],[ID NOTA]]="","",INDEX([6]!NOTA[TGL_H],MATCH(ATALI[[#This Row],[ID NOTA]],[6]!NOTA[ID],0)))</f>
        <v/>
      </c>
      <c r="H179" s="3" t="str">
        <f>IF(ATALI[[#This Row],[ID NOTA]]="","",INDEX([6]!NOTA[TGL.NOTA],MATCH(ATALI[[#This Row],[ID NOTA]],[6]!NOTA[ID],0)))</f>
        <v/>
      </c>
      <c r="I179" s="4" t="str">
        <f>IF(ATALI[[#This Row],[ID NOTA]]="","",INDEX([6]!NOTA[NO.NOTA],MATCH(ATALI[[#This Row],[ID NOTA]],[6]!NOTA[ID],0)))</f>
        <v/>
      </c>
      <c r="J179" s="4" t="s">
        <v>335</v>
      </c>
      <c r="K179" s="6">
        <f ca="1">IF(ATALI[[#This Row],[//]]="","",IF(INDEX([6]!NOTA[C],ATALI[[#This Row],[//]]-2)="","",INDEX([6]!NOTA[C],ATALI[[#This Row],[//]]-2)))</f>
        <v>4</v>
      </c>
      <c r="L179" s="6">
        <f ca="1">IF(ATALI[[#This Row],[//]]="","",INDEX([6]!NOTA[QTY],ATALI[[#This Row],[//]]-2))</f>
        <v>3456</v>
      </c>
      <c r="M179" s="6" t="str">
        <f ca="1">IF(ATALI[[#This Row],[//]]="","",INDEX([6]!NOTA[STN],ATALI[[#This Row],[//]]-2))</f>
        <v>PCS</v>
      </c>
      <c r="N179" s="5">
        <f ca="1">IF(ATALI[[#This Row],[//]]="","",INDEX([6]!NOTA[HARGA SATUAN],ATALI[[#This Row],[//]]-2))</f>
        <v>2200</v>
      </c>
      <c r="O179" s="8">
        <f ca="1">IF(ATALI[[#This Row],[//]]="","",INDEX([6]!NOTA[DISC 1],ATALI[[#This Row],[//]]-2))</f>
        <v>0.125</v>
      </c>
      <c r="P179" s="8">
        <f ca="1">IF(ATALI[[#This Row],[//]]="","",INDEX([6]!NOTA[DISC 2],ATALI[[#This Row],[//]]-2))</f>
        <v>0.05</v>
      </c>
      <c r="Q179" s="5">
        <f ca="1">IF(ATALI[[#This Row],[//]]="","",INDEX([6]!NOTA[TOTAL],ATALI[[#This Row],[//]]-2))</f>
        <v>6320160</v>
      </c>
      <c r="R1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4" t="str">
        <f ca="1">IF(ATALI[[#This Row],[//]]="","",INDEX([6]!NOTA[NAMA BARANG],ATALI[[#This Row],[//]]-2))</f>
        <v>GLUE STICK GS-100 (8 GRAM) JK</v>
      </c>
      <c r="V179" s="4" t="str">
        <f ca="1">LOWER(SUBSTITUTE(SUBSTITUTE(SUBSTITUTE(SUBSTITUTE(SUBSTITUTE(SUBSTITUTE(SUBSTITUTE(ATALI[[#This Row],[N.B.nota]]," ",""),"-",""),"(",""),")",""),".",""),",",""),"/",""))</f>
        <v>gluestickgs1008gramjk</v>
      </c>
      <c r="W179" s="4" t="s">
        <v>137</v>
      </c>
      <c r="X179" s="4" t="str">
        <f ca="1">IF(ATALI[[#This Row],[N.B.nota]]="","",ADDRESS(ROW(ATALI[QB]),COLUMN(ATALI[QB]))&amp;":"&amp;ADDRESS(ROW(),COLUMN(ATALI[QB])))</f>
        <v>$D$3:$D$179</v>
      </c>
      <c r="Y179" s="14" t="str">
        <f ca="1">IF(ATALI[[#This Row],[//]]="","",HYPERLINK("[../DB.xlsx]DB!e"&amp;MATCH(ATALI[[#This Row],[concat]],[4]!db[NB NOTA_C],0)+1,"&gt;"))</f>
        <v>&gt;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NOTA]]="","",HYPERLINK("[NOTA_.xlsx]NOTA!e"&amp;INDEX([6]!PAJAK[//],MATCH(ATALI[[#This Row],[ID NOTA]],[6]!PAJAK[ID],0)),"&gt;") )</f>
        <v/>
      </c>
      <c r="D180" s="6" t="str">
        <f>IF(ATALI[[#This Row],[ID NOTA]]="","",INDEX(Table1[QB],MATCH(ATALI[[#This Row],[ID NOTA]],Table1[ID],0)))</f>
        <v/>
      </c>
      <c r="E1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927</v>
      </c>
      <c r="F180" s="6"/>
      <c r="G180" s="3" t="str">
        <f>IF(ATALI[[#This Row],[ID NOTA]]="","",INDEX([6]!NOTA[TGL_H],MATCH(ATALI[[#This Row],[ID NOTA]],[6]!NOTA[ID],0)))</f>
        <v/>
      </c>
      <c r="H180" s="3" t="str">
        <f>IF(ATALI[[#This Row],[ID NOTA]]="","",INDEX([6]!NOTA[TGL.NOTA],MATCH(ATALI[[#This Row],[ID NOTA]],[6]!NOTA[ID],0)))</f>
        <v/>
      </c>
      <c r="I180" s="4" t="str">
        <f>IF(ATALI[[#This Row],[ID NOTA]]="","",INDEX([6]!NOTA[NO.NOTA],MATCH(ATALI[[#This Row],[ID NOTA]],[6]!NOTA[ID],0)))</f>
        <v/>
      </c>
      <c r="J180" s="4" t="s">
        <v>336</v>
      </c>
      <c r="K180" s="6">
        <f ca="1">IF(ATALI[[#This Row],[//]]="","",IF(INDEX([6]!NOTA[C],ATALI[[#This Row],[//]]-2)="","",INDEX([6]!NOTA[C],ATALI[[#This Row],[//]]-2)))</f>
        <v>2</v>
      </c>
      <c r="L180" s="6">
        <f ca="1">IF(ATALI[[#This Row],[//]]="","",INDEX([6]!NOTA[QTY],ATALI[[#This Row],[//]]-2))</f>
        <v>100</v>
      </c>
      <c r="M180" s="6" t="str">
        <f ca="1">IF(ATALI[[#This Row],[//]]="","",INDEX([6]!NOTA[STN],ATALI[[#This Row],[//]]-2))</f>
        <v>BOX</v>
      </c>
      <c r="N180" s="5">
        <f ca="1">IF(ATALI[[#This Row],[//]]="","",INDEX([6]!NOTA[HARGA SATUAN],ATALI[[#This Row],[//]]-2))</f>
        <v>28300</v>
      </c>
      <c r="O180" s="8">
        <f ca="1">IF(ATALI[[#This Row],[//]]="","",INDEX([6]!NOTA[DISC 1],ATALI[[#This Row],[//]]-2))</f>
        <v>0.125</v>
      </c>
      <c r="P180" s="8">
        <f ca="1">IF(ATALI[[#This Row],[//]]="","",INDEX([6]!NOTA[DISC 2],ATALI[[#This Row],[//]]-2))</f>
        <v>0.05</v>
      </c>
      <c r="Q180" s="5">
        <f ca="1">IF(ATALI[[#This Row],[//]]="","",INDEX([6]!NOTA[TOTAL],ATALI[[#This Row],[//]]-2))</f>
        <v>2352437.5</v>
      </c>
      <c r="R1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4" t="str">
        <f ca="1">IF(ATALI[[#This Row],[//]]="","",INDEX([6]!NOTA[NAMA BARANG],ATALI[[#This Row],[//]]-2))</f>
        <v>ERASER 526-B40P JK</v>
      </c>
      <c r="V180" s="4" t="str">
        <f ca="1">LOWER(SUBSTITUTE(SUBSTITUTE(SUBSTITUTE(SUBSTITUTE(SUBSTITUTE(SUBSTITUTE(SUBSTITUTE(ATALI[[#This Row],[N.B.nota]]," ",""),"-",""),"(",""),")",""),".",""),",",""),"/",""))</f>
        <v>eraser526b40pjk</v>
      </c>
      <c r="W180" s="4" t="s">
        <v>137</v>
      </c>
      <c r="X180" s="4" t="str">
        <f ca="1">IF(ATALI[[#This Row],[N.B.nota]]="","",ADDRESS(ROW(ATALI[QB]),COLUMN(ATALI[QB]))&amp;":"&amp;ADDRESS(ROW(),COLUMN(ATALI[QB])))</f>
        <v>$D$3:$D$180</v>
      </c>
      <c r="Y180" s="14" t="str">
        <f ca="1">IF(ATALI[[#This Row],[//]]="","",HYPERLINK("[../DB.xlsx]DB!e"&amp;MATCH(ATALI[[#This Row],[concat]],[4]!db[NB NOTA_C],0)+1,"&gt;"))</f>
        <v>&gt;</v>
      </c>
    </row>
    <row r="181" spans="1:25" x14ac:dyDescent="0.25">
      <c r="A181" s="4"/>
      <c r="B181" s="6" t="str">
        <f>IF(ATALI[[#This Row],[N_ID]]="","",INDEX(Table1[ID],MATCH(ATALI[[#This Row],[N_ID]],Table1[N_ID],0)))</f>
        <v/>
      </c>
      <c r="C181" s="6" t="str">
        <f>IF(ATALI[[#This Row],[ID NOTA]]="","",HYPERLINK("[NOTA_.xlsx]NOTA!e"&amp;INDEX([6]!PAJAK[//],MATCH(ATALI[[#This Row],[ID NOTA]],[6]!PAJAK[ID],0)),"&gt;") )</f>
        <v/>
      </c>
      <c r="D181" s="6" t="str">
        <f>IF(ATALI[[#This Row],[ID NOTA]]="","",INDEX(Table1[QB],MATCH(ATALI[[#This Row],[ID NOTA]],Table1[ID],0)))</f>
        <v/>
      </c>
      <c r="E1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928</v>
      </c>
      <c r="F181" s="6"/>
      <c r="G181" s="3" t="str">
        <f>IF(ATALI[[#This Row],[ID NOTA]]="","",INDEX([6]!NOTA[TGL_H],MATCH(ATALI[[#This Row],[ID NOTA]],[6]!NOTA[ID],0)))</f>
        <v/>
      </c>
      <c r="H181" s="3" t="str">
        <f>IF(ATALI[[#This Row],[ID NOTA]]="","",INDEX([6]!NOTA[TGL.NOTA],MATCH(ATALI[[#This Row],[ID NOTA]],[6]!NOTA[ID],0)))</f>
        <v/>
      </c>
      <c r="I181" s="4" t="str">
        <f>IF(ATALI[[#This Row],[ID NOTA]]="","",INDEX([6]!NOTA[NO.NOTA],MATCH(ATALI[[#This Row],[ID NOTA]],[6]!NOTA[ID],0)))</f>
        <v/>
      </c>
      <c r="J181" s="4" t="s">
        <v>337</v>
      </c>
      <c r="K181" s="6">
        <f ca="1">IF(ATALI[[#This Row],[//]]="","",IF(INDEX([6]!NOTA[C],ATALI[[#This Row],[//]]-2)="","",INDEX([6]!NOTA[C],ATALI[[#This Row],[//]]-2)))</f>
        <v>2</v>
      </c>
      <c r="L181" s="6">
        <f ca="1">IF(ATALI[[#This Row],[//]]="","",INDEX([6]!NOTA[QTY],ATALI[[#This Row],[//]]-2))</f>
        <v>100</v>
      </c>
      <c r="M181" s="6" t="str">
        <f ca="1">IF(ATALI[[#This Row],[//]]="","",INDEX([6]!NOTA[STN],ATALI[[#This Row],[//]]-2))</f>
        <v>BOX</v>
      </c>
      <c r="N181" s="5">
        <f ca="1">IF(ATALI[[#This Row],[//]]="","",INDEX([6]!NOTA[HARGA SATUAN],ATALI[[#This Row],[//]]-2))</f>
        <v>34100</v>
      </c>
      <c r="O181" s="8">
        <f ca="1">IF(ATALI[[#This Row],[//]]="","",INDEX([6]!NOTA[DISC 1],ATALI[[#This Row],[//]]-2))</f>
        <v>0.125</v>
      </c>
      <c r="P181" s="8">
        <f ca="1">IF(ATALI[[#This Row],[//]]="","",INDEX([6]!NOTA[DISC 2],ATALI[[#This Row],[//]]-2))</f>
        <v>0.05</v>
      </c>
      <c r="Q181" s="5">
        <f ca="1">IF(ATALI[[#This Row],[//]]="","",INDEX([6]!NOTA[TOTAL],ATALI[[#This Row],[//]]-2))</f>
        <v>2834562.5</v>
      </c>
      <c r="R1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4" t="str">
        <f ca="1">IF(ATALI[[#This Row],[//]]="","",INDEX([6]!NOTA[NAMA BARANG],ATALI[[#This Row],[//]]-2))</f>
        <v>ERASER 526-B20 JK</v>
      </c>
      <c r="V181" s="4" t="str">
        <f ca="1">LOWER(SUBSTITUTE(SUBSTITUTE(SUBSTITUTE(SUBSTITUTE(SUBSTITUTE(SUBSTITUTE(SUBSTITUTE(ATALI[[#This Row],[N.B.nota]]," ",""),"-",""),"(",""),")",""),".",""),",",""),"/",""))</f>
        <v>eraser526b20jk</v>
      </c>
      <c r="W181" s="4" t="s">
        <v>137</v>
      </c>
      <c r="X181" s="4" t="str">
        <f ca="1">IF(ATALI[[#This Row],[N.B.nota]]="","",ADDRESS(ROW(ATALI[QB]),COLUMN(ATALI[QB]))&amp;":"&amp;ADDRESS(ROW(),COLUMN(ATALI[QB])))</f>
        <v>$D$3:$D$181</v>
      </c>
      <c r="Y181" s="14" t="str">
        <f ca="1">IF(ATALI[[#This Row],[//]]="","",HYPERLINK("[../DB.xlsx]DB!e"&amp;MATCH(ATALI[[#This Row],[concat]],[4]!db[NB NOTA_C],0)+1,"&gt;"))</f>
        <v>&gt;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NOTA]]="","",HYPERLINK("[NOTA_.xlsx]NOTA!e"&amp;INDEX([6]!PAJAK[//],MATCH(ATALI[[#This Row],[ID NOTA]],[6]!PAJAK[ID],0)),"&gt;") )</f>
        <v/>
      </c>
      <c r="D182" s="6" t="str">
        <f>IF(ATALI[[#This Row],[ID NOTA]]="","",INDEX(Table1[QB],MATCH(ATALI[[#This Row],[ID NOTA]],Table1[ID],0)))</f>
        <v/>
      </c>
      <c r="E1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929</v>
      </c>
      <c r="F182" s="6"/>
      <c r="G182" s="3" t="str">
        <f>IF(ATALI[[#This Row],[ID NOTA]]="","",INDEX([6]!NOTA[TGL_H],MATCH(ATALI[[#This Row],[ID NOTA]],[6]!NOTA[ID],0)))</f>
        <v/>
      </c>
      <c r="H182" s="3" t="str">
        <f>IF(ATALI[[#This Row],[ID NOTA]]="","",INDEX([6]!NOTA[TGL.NOTA],MATCH(ATALI[[#This Row],[ID NOTA]],[6]!NOTA[ID],0)))</f>
        <v/>
      </c>
      <c r="I182" s="4" t="str">
        <f>IF(ATALI[[#This Row],[ID NOTA]]="","",INDEX([6]!NOTA[NO.NOTA],MATCH(ATALI[[#This Row],[ID NOTA]],[6]!NOTA[ID],0)))</f>
        <v/>
      </c>
      <c r="J182" s="4" t="s">
        <v>338</v>
      </c>
      <c r="K182" s="6">
        <f ca="1">IF(ATALI[[#This Row],[//]]="","",IF(INDEX([6]!NOTA[C],ATALI[[#This Row],[//]]-2)="","",INDEX([6]!NOTA[C],ATALI[[#This Row],[//]]-2)))</f>
        <v>3</v>
      </c>
      <c r="L182" s="6">
        <f ca="1">IF(ATALI[[#This Row],[//]]="","",INDEX([6]!NOTA[QTY],ATALI[[#This Row],[//]]-2))</f>
        <v>720</v>
      </c>
      <c r="M182" s="6" t="str">
        <f ca="1">IF(ATALI[[#This Row],[//]]="","",INDEX([6]!NOTA[STN],ATALI[[#This Row],[//]]-2))</f>
        <v>PCS</v>
      </c>
      <c r="N182" s="5">
        <f ca="1">IF(ATALI[[#This Row],[//]]="","",INDEX([6]!NOTA[HARGA SATUAN],ATALI[[#This Row],[//]]-2))</f>
        <v>6600</v>
      </c>
      <c r="O182" s="8">
        <f ca="1">IF(ATALI[[#This Row],[//]]="","",INDEX([6]!NOTA[DISC 1],ATALI[[#This Row],[//]]-2))</f>
        <v>0.125</v>
      </c>
      <c r="P182" s="8">
        <f ca="1">IF(ATALI[[#This Row],[//]]="","",INDEX([6]!NOTA[DISC 2],ATALI[[#This Row],[//]]-2))</f>
        <v>0.05</v>
      </c>
      <c r="Q182" s="5">
        <f ca="1">IF(ATALI[[#This Row],[//]]="","",INDEX([6]!NOTA[TOTAL],ATALI[[#This Row],[//]]-2))</f>
        <v>3950100</v>
      </c>
      <c r="R1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4" t="str">
        <f ca="1">IF(ATALI[[#This Row],[//]]="","",INDEX([6]!NOTA[NAMA BARANG],ATALI[[#This Row],[//]]-2))</f>
        <v>STAPLER HD-10CL JK</v>
      </c>
      <c r="V182" s="4" t="str">
        <f ca="1">LOWER(SUBSTITUTE(SUBSTITUTE(SUBSTITUTE(SUBSTITUTE(SUBSTITUTE(SUBSTITUTE(SUBSTITUTE(ATALI[[#This Row],[N.B.nota]]," ",""),"-",""),"(",""),")",""),".",""),",",""),"/",""))</f>
        <v>staplerhd10cljk</v>
      </c>
      <c r="W182" s="4" t="s">
        <v>137</v>
      </c>
      <c r="X182" s="4" t="str">
        <f ca="1">IF(ATALI[[#This Row],[N.B.nota]]="","",ADDRESS(ROW(ATALI[QB]),COLUMN(ATALI[QB]))&amp;":"&amp;ADDRESS(ROW(),COLUMN(ATALI[QB])))</f>
        <v>$D$3:$D$182</v>
      </c>
      <c r="Y182" s="14" t="str">
        <f ca="1">IF(ATALI[[#This Row],[//]]="","",HYPERLINK("[../DB.xlsx]DB!e"&amp;MATCH(ATALI[[#This Row],[concat]],[4]!db[NB NOTA_C],0)+1,"&gt;"))</f>
        <v>&gt;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NOTA]]="","",HYPERLINK("[NOTA_.xlsx]NOTA!e"&amp;INDEX([6]!PAJAK[//],MATCH(ATALI[[#This Row],[ID NOTA]],[6]!PAJAK[ID],0)),"&gt;") )</f>
        <v/>
      </c>
      <c r="D183" s="6" t="str">
        <f>IF(ATALI[[#This Row],[ID NOTA]]="","",INDEX(Table1[QB],MATCH(ATALI[[#This Row],[ID NOTA]],Table1[ID],0)))</f>
        <v/>
      </c>
      <c r="E1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930</v>
      </c>
      <c r="F183" s="6"/>
      <c r="G183" s="3" t="str">
        <f>IF(ATALI[[#This Row],[ID NOTA]]="","",INDEX([6]!NOTA[TGL_H],MATCH(ATALI[[#This Row],[ID NOTA]],[6]!NOTA[ID],0)))</f>
        <v/>
      </c>
      <c r="H183" s="3" t="str">
        <f>IF(ATALI[[#This Row],[ID NOTA]]="","",INDEX([6]!NOTA[TGL.NOTA],MATCH(ATALI[[#This Row],[ID NOTA]],[6]!NOTA[ID],0)))</f>
        <v/>
      </c>
      <c r="I183" s="4" t="str">
        <f>IF(ATALI[[#This Row],[ID NOTA]]="","",INDEX([6]!NOTA[NO.NOTA],MATCH(ATALI[[#This Row],[ID NOTA]],[6]!NOTA[ID],0)))</f>
        <v/>
      </c>
      <c r="J183" s="4" t="s">
        <v>281</v>
      </c>
      <c r="K183" s="6">
        <f ca="1">IF(ATALI[[#This Row],[//]]="","",IF(INDEX([6]!NOTA[C],ATALI[[#This Row],[//]]-2)="","",INDEX([6]!NOTA[C],ATALI[[#This Row],[//]]-2)))</f>
        <v>1</v>
      </c>
      <c r="L183" s="6">
        <f ca="1">IF(ATALI[[#This Row],[//]]="","",INDEX([6]!NOTA[QTY],ATALI[[#This Row],[//]]-2))</f>
        <v>120</v>
      </c>
      <c r="M183" s="6" t="str">
        <f ca="1">IF(ATALI[[#This Row],[//]]="","",INDEX([6]!NOTA[STN],ATALI[[#This Row],[//]]-2))</f>
        <v>PCS</v>
      </c>
      <c r="N183" s="5">
        <f ca="1">IF(ATALI[[#This Row],[//]]="","",INDEX([6]!NOTA[HARGA SATUAN],ATALI[[#This Row],[//]]-2))</f>
        <v>12950</v>
      </c>
      <c r="O183" s="8">
        <f ca="1">IF(ATALI[[#This Row],[//]]="","",INDEX([6]!NOTA[DISC 1],ATALI[[#This Row],[//]]-2))</f>
        <v>0.125</v>
      </c>
      <c r="P183" s="8">
        <f ca="1">IF(ATALI[[#This Row],[//]]="","",INDEX([6]!NOTA[DISC 2],ATALI[[#This Row],[//]]-2))</f>
        <v>0.05</v>
      </c>
      <c r="Q183" s="5">
        <f ca="1">IF(ATALI[[#This Row],[//]]="","",INDEX([6]!NOTA[TOTAL],ATALI[[#This Row],[//]]-2))</f>
        <v>1291762.5</v>
      </c>
      <c r="R1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4" t="str">
        <f ca="1">IF(ATALI[[#This Row],[//]]="","",INDEX([6]!NOTA[NAMA BARANG],ATALI[[#This Row],[//]]-2))</f>
        <v>PUNCH 30XL JK</v>
      </c>
      <c r="V183" s="4" t="str">
        <f ca="1">LOWER(SUBSTITUTE(SUBSTITUTE(SUBSTITUTE(SUBSTITUTE(SUBSTITUTE(SUBSTITUTE(SUBSTITUTE(ATALI[[#This Row],[N.B.nota]]," ",""),"-",""),"(",""),")",""),".",""),",",""),"/",""))</f>
        <v>punch30xljk</v>
      </c>
      <c r="W183" s="4" t="s">
        <v>137</v>
      </c>
      <c r="X183" s="4" t="str">
        <f ca="1">IF(ATALI[[#This Row],[N.B.nota]]="","",ADDRESS(ROW(ATALI[QB]),COLUMN(ATALI[QB]))&amp;":"&amp;ADDRESS(ROW(),COLUMN(ATALI[QB])))</f>
        <v>$D$3:$D$183</v>
      </c>
      <c r="Y183" s="14" t="str">
        <f ca="1">IF(ATALI[[#This Row],[//]]="","",HYPERLINK("[../DB.xlsx]DB!e"&amp;MATCH(ATALI[[#This Row],[concat]],[4]!db[NB NOTA_C],0)+1,"&gt;"))</f>
        <v>&gt;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NOTA]]="","",HYPERLINK("[NOTA_.xlsx]NOTA!e"&amp;INDEX([6]!PAJAK[//],MATCH(ATALI[[#This Row],[ID NOTA]],[6]!PAJAK[ID],0)),"&gt;") )</f>
        <v/>
      </c>
      <c r="D184" s="6" t="str">
        <f>IF(ATALI[[#This Row],[ID NOTA]]="","",INDEX(Table1[QB],MATCH(ATALI[[#This Row],[ID NOTA]],Table1[ID],0)))</f>
        <v/>
      </c>
      <c r="E1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931</v>
      </c>
      <c r="F184" s="6"/>
      <c r="G184" s="3" t="str">
        <f>IF(ATALI[[#This Row],[ID NOTA]]="","",INDEX([6]!NOTA[TGL_H],MATCH(ATALI[[#This Row],[ID NOTA]],[6]!NOTA[ID],0)))</f>
        <v/>
      </c>
      <c r="H184" s="3" t="str">
        <f>IF(ATALI[[#This Row],[ID NOTA]]="","",INDEX([6]!NOTA[TGL.NOTA],MATCH(ATALI[[#This Row],[ID NOTA]],[6]!NOTA[ID],0)))</f>
        <v/>
      </c>
      <c r="I184" s="4" t="str">
        <f>IF(ATALI[[#This Row],[ID NOTA]]="","",INDEX([6]!NOTA[NO.NOTA],MATCH(ATALI[[#This Row],[ID NOTA]],[6]!NOTA[ID],0)))</f>
        <v/>
      </c>
      <c r="J184" s="4" t="s">
        <v>339</v>
      </c>
      <c r="K184" s="6">
        <f ca="1">IF(ATALI[[#This Row],[//]]="","",IF(INDEX([6]!NOTA[C],ATALI[[#This Row],[//]]-2)="","",INDEX([6]!NOTA[C],ATALI[[#This Row],[//]]-2)))</f>
        <v>1</v>
      </c>
      <c r="L184" s="6">
        <f ca="1">IF(ATALI[[#This Row],[//]]="","",INDEX([6]!NOTA[QTY],ATALI[[#This Row],[//]]-2))</f>
        <v>576</v>
      </c>
      <c r="M184" s="6" t="str">
        <f ca="1">IF(ATALI[[#This Row],[//]]="","",INDEX([6]!NOTA[STN],ATALI[[#This Row],[//]]-2))</f>
        <v>PCS</v>
      </c>
      <c r="N184" s="5">
        <f ca="1">IF(ATALI[[#This Row],[//]]="","",INDEX([6]!NOTA[HARGA SATUAN],ATALI[[#This Row],[//]]-2))</f>
        <v>1550</v>
      </c>
      <c r="O184" s="8">
        <f ca="1">IF(ATALI[[#This Row],[//]]="","",INDEX([6]!NOTA[DISC 1],ATALI[[#This Row],[//]]-2))</f>
        <v>0.125</v>
      </c>
      <c r="P184" s="8">
        <f ca="1">IF(ATALI[[#This Row],[//]]="","",INDEX([6]!NOTA[DISC 2],ATALI[[#This Row],[//]]-2))</f>
        <v>0.05</v>
      </c>
      <c r="Q184" s="5">
        <f ca="1">IF(ATALI[[#This Row],[//]]="","",INDEX([6]!NOTA[TOTAL],ATALI[[#This Row],[//]]-2))</f>
        <v>742140</v>
      </c>
      <c r="R1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4" t="str">
        <f ca="1">IF(ATALI[[#This Row],[//]]="","",INDEX([6]!NOTA[NAMA BARANG],ATALI[[#This Row],[//]]-2))</f>
        <v>GLUE GL-R35 JK</v>
      </c>
      <c r="V184" s="4" t="str">
        <f ca="1">LOWER(SUBSTITUTE(SUBSTITUTE(SUBSTITUTE(SUBSTITUTE(SUBSTITUTE(SUBSTITUTE(SUBSTITUTE(ATALI[[#This Row],[N.B.nota]]," ",""),"-",""),"(",""),")",""),".",""),",",""),"/",""))</f>
        <v>glueglr35jk</v>
      </c>
      <c r="W184" s="4" t="s">
        <v>137</v>
      </c>
      <c r="X184" s="4" t="str">
        <f ca="1">IF(ATALI[[#This Row],[N.B.nota]]="","",ADDRESS(ROW(ATALI[QB]),COLUMN(ATALI[QB]))&amp;":"&amp;ADDRESS(ROW(),COLUMN(ATALI[QB])))</f>
        <v>$D$3:$D$184</v>
      </c>
      <c r="Y184" s="14" t="str">
        <f ca="1">IF(ATALI[[#This Row],[//]]="","",HYPERLINK("[../DB.xlsx]DB!e"&amp;MATCH(ATALI[[#This Row],[concat]],[4]!db[NB NOTA_C],0)+1,"&gt;"))</f>
        <v>&gt;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NOTA]]="","",HYPERLINK("[NOTA_.xlsx]NOTA!e"&amp;INDEX([6]!PAJAK[//],MATCH(ATALI[[#This Row],[ID NOTA]],[6]!PAJAK[ID],0)),"&gt;") )</f>
        <v/>
      </c>
      <c r="D185" s="6" t="str">
        <f>IF(ATALI[[#This Row],[ID NOTA]]="","",INDEX(Table1[QB],MATCH(ATALI[[#This Row],[ID NOTA]],Table1[ID],0)))</f>
        <v/>
      </c>
      <c r="E1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932</v>
      </c>
      <c r="F185" s="6"/>
      <c r="G185" s="3" t="str">
        <f>IF(ATALI[[#This Row],[ID NOTA]]="","",INDEX([6]!NOTA[TGL_H],MATCH(ATALI[[#This Row],[ID NOTA]],[6]!NOTA[ID],0)))</f>
        <v/>
      </c>
      <c r="H185" s="3" t="str">
        <f>IF(ATALI[[#This Row],[ID NOTA]]="","",INDEX([6]!NOTA[TGL.NOTA],MATCH(ATALI[[#This Row],[ID NOTA]],[6]!NOTA[ID],0)))</f>
        <v/>
      </c>
      <c r="I185" s="4" t="str">
        <f>IF(ATALI[[#This Row],[ID NOTA]]="","",INDEX([6]!NOTA[NO.NOTA],MATCH(ATALI[[#This Row],[ID NOTA]],[6]!NOTA[ID],0)))</f>
        <v/>
      </c>
      <c r="J185" s="4" t="s">
        <v>340</v>
      </c>
      <c r="K185" s="6">
        <f ca="1">IF(ATALI[[#This Row],[//]]="","",IF(INDEX([6]!NOTA[C],ATALI[[#This Row],[//]]-2)="","",INDEX([6]!NOTA[C],ATALI[[#This Row],[//]]-2)))</f>
        <v>1</v>
      </c>
      <c r="L185" s="6">
        <f ca="1">IF(ATALI[[#This Row],[//]]="","",INDEX([6]!NOTA[QTY],ATALI[[#This Row],[//]]-2))</f>
        <v>288</v>
      </c>
      <c r="M185" s="6" t="str">
        <f ca="1">IF(ATALI[[#This Row],[//]]="","",INDEX([6]!NOTA[STN],ATALI[[#This Row],[//]]-2))</f>
        <v>PCS</v>
      </c>
      <c r="N185" s="5">
        <f ca="1">IF(ATALI[[#This Row],[//]]="","",INDEX([6]!NOTA[HARGA SATUAN],ATALI[[#This Row],[//]]-2))</f>
        <v>2150</v>
      </c>
      <c r="O185" s="8">
        <f ca="1">IF(ATALI[[#This Row],[//]]="","",INDEX([6]!NOTA[DISC 1],ATALI[[#This Row],[//]]-2))</f>
        <v>0.125</v>
      </c>
      <c r="P185" s="8">
        <f ca="1">IF(ATALI[[#This Row],[//]]="","",INDEX([6]!NOTA[DISC 2],ATALI[[#This Row],[//]]-2))</f>
        <v>0.05</v>
      </c>
      <c r="Q185" s="5">
        <f ca="1">IF(ATALI[[#This Row],[//]]="","",INDEX([6]!NOTA[TOTAL],ATALI[[#This Row],[//]]-2))</f>
        <v>514710</v>
      </c>
      <c r="R1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4" t="str">
        <f ca="1">IF(ATALI[[#This Row],[//]]="","",INDEX([6]!NOTA[NAMA BARANG],ATALI[[#This Row],[//]]-2))</f>
        <v>GLUE GL-R50 JK</v>
      </c>
      <c r="V185" s="4" t="str">
        <f ca="1">LOWER(SUBSTITUTE(SUBSTITUTE(SUBSTITUTE(SUBSTITUTE(SUBSTITUTE(SUBSTITUTE(SUBSTITUTE(ATALI[[#This Row],[N.B.nota]]," ",""),"-",""),"(",""),")",""),".",""),",",""),"/",""))</f>
        <v>glueglr50jk</v>
      </c>
      <c r="W185" s="4" t="s">
        <v>137</v>
      </c>
      <c r="X185" s="4" t="str">
        <f ca="1">IF(ATALI[[#This Row],[N.B.nota]]="","",ADDRESS(ROW(ATALI[QB]),COLUMN(ATALI[QB]))&amp;":"&amp;ADDRESS(ROW(),COLUMN(ATALI[QB])))</f>
        <v>$D$3:$D$185</v>
      </c>
      <c r="Y185" s="14" t="str">
        <f ca="1">IF(ATALI[[#This Row],[//]]="","",HYPERLINK("[../DB.xlsx]DB!e"&amp;MATCH(ATALI[[#This Row],[concat]],[4]!db[NB NOTA_C],0)+1,"&gt;"))</f>
        <v>&gt;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NOTA]]="","",HYPERLINK("[NOTA_.xlsx]NOTA!e"&amp;INDEX([6]!PAJAK[//],MATCH(ATALI[[#This Row],[ID NOTA]],[6]!PAJAK[ID],0)),"&gt;") )</f>
        <v/>
      </c>
      <c r="D186" s="6" t="str">
        <f>IF(ATALI[[#This Row],[ID NOTA]]="","",INDEX(Table1[QB],MATCH(ATALI[[#This Row],[ID NOTA]],Table1[ID],0)))</f>
        <v/>
      </c>
      <c r="E1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933</v>
      </c>
      <c r="F186" s="6"/>
      <c r="G186" s="3" t="str">
        <f>IF(ATALI[[#This Row],[ID NOTA]]="","",INDEX([6]!NOTA[TGL_H],MATCH(ATALI[[#This Row],[ID NOTA]],[6]!NOTA[ID],0)))</f>
        <v/>
      </c>
      <c r="H186" s="3" t="str">
        <f>IF(ATALI[[#This Row],[ID NOTA]]="","",INDEX([6]!NOTA[TGL.NOTA],MATCH(ATALI[[#This Row],[ID NOTA]],[6]!NOTA[ID],0)))</f>
        <v/>
      </c>
      <c r="I186" s="4" t="str">
        <f>IF(ATALI[[#This Row],[ID NOTA]]="","",INDEX([6]!NOTA[NO.NOTA],MATCH(ATALI[[#This Row],[ID NOTA]],[6]!NOTA[ID],0)))</f>
        <v/>
      </c>
      <c r="J186" s="4" t="s">
        <v>341</v>
      </c>
      <c r="K186" s="6">
        <f ca="1">IF(ATALI[[#This Row],[//]]="","",IF(INDEX([6]!NOTA[C],ATALI[[#This Row],[//]]-2)="","",INDEX([6]!NOTA[C],ATALI[[#This Row],[//]]-2)))</f>
        <v>1</v>
      </c>
      <c r="L186" s="6">
        <f ca="1">IF(ATALI[[#This Row],[//]]="","",INDEX([6]!NOTA[QTY],ATALI[[#This Row],[//]]-2))</f>
        <v>60</v>
      </c>
      <c r="M186" s="6" t="str">
        <f ca="1">IF(ATALI[[#This Row],[//]]="","",INDEX([6]!NOTA[STN],ATALI[[#This Row],[//]]-2))</f>
        <v>PCS</v>
      </c>
      <c r="N186" s="5">
        <f ca="1">IF(ATALI[[#This Row],[//]]="","",INDEX([6]!NOTA[HARGA SATUAN],ATALI[[#This Row],[//]]-2))</f>
        <v>45500</v>
      </c>
      <c r="O186" s="8">
        <f ca="1">IF(ATALI[[#This Row],[//]]="","",INDEX([6]!NOTA[DISC 1],ATALI[[#This Row],[//]]-2))</f>
        <v>0.125</v>
      </c>
      <c r="P186" s="8">
        <f ca="1">IF(ATALI[[#This Row],[//]]="","",INDEX([6]!NOTA[DISC 2],ATALI[[#This Row],[//]]-2))</f>
        <v>0.05</v>
      </c>
      <c r="Q186" s="5">
        <f ca="1">IF(ATALI[[#This Row],[//]]="","",INDEX([6]!NOTA[TOTAL],ATALI[[#This Row],[//]]-2))</f>
        <v>2269312.5</v>
      </c>
      <c r="R18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8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43888005</v>
      </c>
      <c r="T18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4" t="str">
        <f ca="1">IF(ATALI[[#This Row],[//]]="","",INDEX([6]!NOTA[NAMA BARANG],ATALI[[#This Row],[//]]-2))</f>
        <v>SHARPENER A-5M JK</v>
      </c>
      <c r="V186" s="4" t="str">
        <f ca="1">LOWER(SUBSTITUTE(SUBSTITUTE(SUBSTITUTE(SUBSTITUTE(SUBSTITUTE(SUBSTITUTE(SUBSTITUTE(ATALI[[#This Row],[N.B.nota]]," ",""),"-",""),"(",""),")",""),".",""),",",""),"/",""))</f>
        <v>sharpenera5mjk</v>
      </c>
      <c r="W186" s="4" t="s">
        <v>137</v>
      </c>
      <c r="X186" s="4" t="str">
        <f ca="1">IF(ATALI[[#This Row],[N.B.nota]]="","",ADDRESS(ROW(ATALI[QB]),COLUMN(ATALI[QB]))&amp;":"&amp;ADDRESS(ROW(),COLUMN(ATALI[QB])))</f>
        <v>$D$3:$D$186</v>
      </c>
      <c r="Y186" s="14" t="str">
        <f ca="1">IF(ATALI[[#This Row],[//]]="","",HYPERLINK("[../DB.xlsx]DB!e"&amp;MATCH(ATALI[[#This Row],[concat]],[4]!db[NB NOTA_C],0)+1,"&gt;"))</f>
        <v>&gt;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NOTA]]="","",HYPERLINK("[NOTA_.xlsx]NOTA!e"&amp;INDEX([6]!PAJAK[//],MATCH(ATALI[[#This Row],[ID NOTA]],[6]!PAJAK[ID],0)),"&gt;") )</f>
        <v/>
      </c>
      <c r="D187" s="6" t="str">
        <f>IF(ATALI[[#This Row],[ID NOTA]]="","",INDEX(Table1[QB],MATCH(ATALI[[#This Row],[ID NOTA]],Table1[ID],0)))</f>
        <v/>
      </c>
      <c r="E1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7" s="6"/>
      <c r="G187" s="3" t="str">
        <f>IF(ATALI[[#This Row],[ID NOTA]]="","",INDEX([6]!NOTA[TGL_H],MATCH(ATALI[[#This Row],[ID NOTA]],[6]!NOTA[ID],0)))</f>
        <v/>
      </c>
      <c r="H187" s="3" t="str">
        <f>IF(ATALI[[#This Row],[ID NOTA]]="","",INDEX([6]!NOTA[TGL.NOTA],MATCH(ATALI[[#This Row],[ID NOTA]],[6]!NOTA[ID],0)))</f>
        <v/>
      </c>
      <c r="I187" s="4" t="str">
        <f>IF(ATALI[[#This Row],[ID NOTA]]="","",INDEX([6]!NOTA[NO.NOTA],MATCH(ATALI[[#This Row],[ID NOTA]],[6]!NOTA[ID],0)))</f>
        <v/>
      </c>
      <c r="J187" s="4" t="s">
        <v>136</v>
      </c>
      <c r="K187" s="6" t="str">
        <f ca="1">IF(ATALI[[#This Row],[//]]="","",IF(INDEX([6]!NOTA[C],ATALI[[#This Row],[//]]-2)="","",INDEX([6]!NOTA[C],ATALI[[#This Row],[//]]-2)))</f>
        <v/>
      </c>
      <c r="L187" s="6" t="str">
        <f ca="1">IF(ATALI[[#This Row],[//]]="","",INDEX([6]!NOTA[QTY],ATALI[[#This Row],[//]]-2))</f>
        <v/>
      </c>
      <c r="M187" s="6" t="str">
        <f ca="1">IF(ATALI[[#This Row],[//]]="","",INDEX([6]!NOTA[STN],ATALI[[#This Row],[//]]-2))</f>
        <v/>
      </c>
      <c r="N187" s="5" t="str">
        <f ca="1">IF(ATALI[[#This Row],[//]]="","",INDEX([6]!NOTA[HARGA SATUAN],ATALI[[#This Row],[//]]-2))</f>
        <v/>
      </c>
      <c r="O187" s="8" t="str">
        <f ca="1">IF(ATALI[[#This Row],[//]]="","",INDEX([6]!NOTA[DISC 1],ATALI[[#This Row],[//]]-2))</f>
        <v/>
      </c>
      <c r="P187" s="8" t="str">
        <f ca="1">IF(ATALI[[#This Row],[//]]="","",INDEX([6]!NOTA[DISC 2],ATALI[[#This Row],[//]]-2))</f>
        <v/>
      </c>
      <c r="Q187" s="5" t="str">
        <f ca="1">IF(ATALI[[#This Row],[//]]="","",INDEX([6]!NOTA[TOTAL],ATALI[[#This Row],[//]]-2))</f>
        <v/>
      </c>
      <c r="R1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4" t="str">
        <f ca="1">IF(ATALI[[#This Row],[//]]="","",INDEX([6]!NOTA[NAMA BARANG],ATALI[[#This Row],[//]]-2))</f>
        <v/>
      </c>
      <c r="V187" s="4" t="str">
        <f ca="1">LOWER(SUBSTITUTE(SUBSTITUTE(SUBSTITUTE(SUBSTITUTE(SUBSTITUTE(SUBSTITUTE(SUBSTITUTE(ATALI[[#This Row],[N.B.nota]]," ",""),"-",""),"(",""),")",""),".",""),",",""),"/",""))</f>
        <v/>
      </c>
      <c r="W187" s="4" t="s">
        <v>136</v>
      </c>
      <c r="X187" s="4" t="str">
        <f ca="1">IF(ATALI[[#This Row],[N.B.nota]]="","",ADDRESS(ROW(ATALI[QB]),COLUMN(ATALI[QB]))&amp;":"&amp;ADDRESS(ROW(),COLUMN(ATALI[QB])))</f>
        <v/>
      </c>
      <c r="Y187" s="14" t="str">
        <f ca="1">IF(ATALI[[#This Row],[//]]="","",HYPERLINK("[../DB.xlsx]DB!e"&amp;MATCH(ATALI[[#This Row],[concat]],[4]!db[NB NOTA_C],0)+1,"&gt;"))</f>
        <v/>
      </c>
    </row>
    <row r="188" spans="1:25" x14ac:dyDescent="0.25">
      <c r="A188" s="4" t="s">
        <v>125</v>
      </c>
      <c r="B188" s="6">
        <f ca="1">IF(ATALI[[#This Row],[N_ID]]="","",INDEX(Table1[ID],MATCH(ATALI[[#This Row],[N_ID]],Table1[N_ID],0)))</f>
        <v>172</v>
      </c>
      <c r="C188" s="6" t="str">
        <f ca="1">IF(ATALI[[#This Row],[ID NOTA]]="","",HYPERLINK("[NOTA_.xlsx]NOTA!e"&amp;INDEX([6]!PAJAK[//],MATCH(ATALI[[#This Row],[ID NOTA]],[6]!PAJAK[ID],0)),"&gt;") )</f>
        <v>&gt;</v>
      </c>
      <c r="D188" s="6">
        <f ca="1">IF(ATALI[[#This Row],[ID NOTA]]="","",INDEX(Table1[QB],MATCH(ATALI[[#This Row],[ID NOTA]],Table1[ID],0)))</f>
        <v>7</v>
      </c>
      <c r="E1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900</v>
      </c>
      <c r="F188" s="6"/>
      <c r="G188" s="3">
        <f ca="1">IF(ATALI[[#This Row],[ID NOTA]]="","",INDEX([6]!NOTA[TGL_H],MATCH(ATALI[[#This Row],[ID NOTA]],[6]!NOTA[ID],0)))</f>
        <v>44771</v>
      </c>
      <c r="H188" s="3">
        <f ca="1">IF(ATALI[[#This Row],[ID NOTA]]="","",INDEX([6]!NOTA[TGL.NOTA],MATCH(ATALI[[#This Row],[ID NOTA]],[6]!NOTA[ID],0)))</f>
        <v>44765</v>
      </c>
      <c r="I188" s="4" t="str">
        <f ca="1">IF(ATALI[[#This Row],[ID NOTA]]="","",INDEX([6]!NOTA[NO.NOTA],MATCH(ATALI[[#This Row],[ID NOTA]],[6]!NOTA[ID],0)))</f>
        <v>SA220710798</v>
      </c>
      <c r="J188" s="4" t="s">
        <v>342</v>
      </c>
      <c r="K188" s="6">
        <f ca="1">IF(ATALI[[#This Row],[//]]="","",IF(INDEX([6]!NOTA[C],ATALI[[#This Row],[//]]-2)="","",INDEX([6]!NOTA[C],ATALI[[#This Row],[//]]-2)))</f>
        <v>1</v>
      </c>
      <c r="L188" s="6">
        <f ca="1">IF(ATALI[[#This Row],[//]]="","",INDEX([6]!NOTA[QTY],ATALI[[#This Row],[//]]-2))</f>
        <v>360</v>
      </c>
      <c r="M188" s="6" t="str">
        <f ca="1">IF(ATALI[[#This Row],[//]]="","",INDEX([6]!NOTA[STN],ATALI[[#This Row],[//]]-2))</f>
        <v>PCS</v>
      </c>
      <c r="N188" s="5">
        <f ca="1">IF(ATALI[[#This Row],[//]]="","",INDEX([6]!NOTA[HARGA SATUAN],ATALI[[#This Row],[//]]-2))</f>
        <v>10500</v>
      </c>
      <c r="O188" s="8">
        <f ca="1">IF(ATALI[[#This Row],[//]]="","",INDEX([6]!NOTA[DISC 1],ATALI[[#This Row],[//]]-2))</f>
        <v>0.125</v>
      </c>
      <c r="P188" s="8">
        <f ca="1">IF(ATALI[[#This Row],[//]]="","",INDEX([6]!NOTA[DISC 2],ATALI[[#This Row],[//]]-2))</f>
        <v>0.05</v>
      </c>
      <c r="Q188" s="5">
        <f ca="1">IF(ATALI[[#This Row],[//]]="","",INDEX([6]!NOTA[TOTAL],ATALI[[#This Row],[//]]-2))</f>
        <v>3142125</v>
      </c>
      <c r="R18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4" t="str">
        <f ca="1">IF(ATALI[[#This Row],[//]]="","",INDEX([6]!NOTA[NAMA BARANG],ATALI[[#This Row],[//]]-2))</f>
        <v>CORRECTION TAPE CT-520 JK</v>
      </c>
      <c r="V188" s="4" t="str">
        <f ca="1">LOWER(SUBSTITUTE(SUBSTITUTE(SUBSTITUTE(SUBSTITUTE(SUBSTITUTE(SUBSTITUTE(SUBSTITUTE(ATALI[[#This Row],[N.B.nota]]," ",""),"-",""),"(",""),")",""),".",""),",",""),"/",""))</f>
        <v>correctiontapect520jk</v>
      </c>
      <c r="W188" s="4" t="s">
        <v>137</v>
      </c>
      <c r="X188" s="4" t="str">
        <f ca="1">IF(ATALI[[#This Row],[N.B.nota]]="","",ADDRESS(ROW(ATALI[QB]),COLUMN(ATALI[QB]))&amp;":"&amp;ADDRESS(ROW(),COLUMN(ATALI[QB])))</f>
        <v>$D$3:$D$188</v>
      </c>
      <c r="Y188" s="14" t="str">
        <f ca="1">IF(ATALI[[#This Row],[//]]="","",HYPERLINK("[../DB.xlsx]DB!e"&amp;MATCH(ATALI[[#This Row],[concat]],[4]!db[NB NOTA_C],0)+1,"&gt;"))</f>
        <v>&gt;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NOTA]]="","",HYPERLINK("[NOTA_.xlsx]NOTA!e"&amp;INDEX([6]!PAJAK[//],MATCH(ATALI[[#This Row],[ID NOTA]],[6]!PAJAK[ID],0)),"&gt;") )</f>
        <v/>
      </c>
      <c r="D189" s="6" t="str">
        <f>IF(ATALI[[#This Row],[ID NOTA]]="","",INDEX(Table1[QB],MATCH(ATALI[[#This Row],[ID NOTA]],Table1[ID],0)))</f>
        <v/>
      </c>
      <c r="E18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901</v>
      </c>
      <c r="F189" s="6"/>
      <c r="G189" s="3" t="str">
        <f>IF(ATALI[[#This Row],[ID NOTA]]="","",INDEX([6]!NOTA[TGL_H],MATCH(ATALI[[#This Row],[ID NOTA]],[6]!NOTA[ID],0)))</f>
        <v/>
      </c>
      <c r="H189" s="3" t="str">
        <f>IF(ATALI[[#This Row],[ID NOTA]]="","",INDEX([6]!NOTA[TGL.NOTA],MATCH(ATALI[[#This Row],[ID NOTA]],[6]!NOTA[ID],0)))</f>
        <v/>
      </c>
      <c r="I189" s="4" t="str">
        <f>IF(ATALI[[#This Row],[ID NOTA]]="","",INDEX([6]!NOTA[NO.NOTA],MATCH(ATALI[[#This Row],[ID NOTA]],[6]!NOTA[ID],0)))</f>
        <v/>
      </c>
      <c r="J189" s="4" t="s">
        <v>288</v>
      </c>
      <c r="K189" s="6">
        <f ca="1">IF(ATALI[[#This Row],[//]]="","",IF(INDEX([6]!NOTA[C],ATALI[[#This Row],[//]]-2)="","",INDEX([6]!NOTA[C],ATALI[[#This Row],[//]]-2)))</f>
        <v>1</v>
      </c>
      <c r="L189" s="6">
        <f ca="1">IF(ATALI[[#This Row],[//]]="","",INDEX([6]!NOTA[QTY],ATALI[[#This Row],[//]]-2))</f>
        <v>144</v>
      </c>
      <c r="M189" s="6" t="str">
        <f ca="1">IF(ATALI[[#This Row],[//]]="","",INDEX([6]!NOTA[STN],ATALI[[#This Row],[//]]-2))</f>
        <v>SET</v>
      </c>
      <c r="N189" s="5">
        <f ca="1">IF(ATALI[[#This Row],[//]]="","",INDEX([6]!NOTA[HARGA SATUAN],ATALI[[#This Row],[//]]-2))</f>
        <v>31500</v>
      </c>
      <c r="O189" s="8">
        <f ca="1">IF(ATALI[[#This Row],[//]]="","",INDEX([6]!NOTA[DISC 1],ATALI[[#This Row],[//]]-2))</f>
        <v>0.125</v>
      </c>
      <c r="P189" s="8">
        <f ca="1">IF(ATALI[[#This Row],[//]]="","",INDEX([6]!NOTA[DISC 2],ATALI[[#This Row],[//]]-2))</f>
        <v>0.05</v>
      </c>
      <c r="Q189" s="5">
        <f ca="1">IF(ATALI[[#This Row],[//]]="","",INDEX([6]!NOTA[TOTAL],ATALI[[#This Row],[//]]-2))</f>
        <v>3770550</v>
      </c>
      <c r="R1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4" t="str">
        <f ca="1">IF(ATALI[[#This Row],[//]]="","",INDEX([6]!NOTA[NAMA BARANG],ATALI[[#This Row],[//]]-2))</f>
        <v>COLOR BRUSH PEN CLP-06 JK</v>
      </c>
      <c r="V189" s="4" t="str">
        <f ca="1">LOWER(SUBSTITUTE(SUBSTITUTE(SUBSTITUTE(SUBSTITUTE(SUBSTITUTE(SUBSTITUTE(SUBSTITUTE(ATALI[[#This Row],[N.B.nota]]," ",""),"-",""),"(",""),")",""),".",""),",",""),"/",""))</f>
        <v>colorbrushpenclp06jk</v>
      </c>
      <c r="W189" s="4" t="s">
        <v>137</v>
      </c>
      <c r="X189" s="4" t="str">
        <f ca="1">IF(ATALI[[#This Row],[N.B.nota]]="","",ADDRESS(ROW(ATALI[QB]),COLUMN(ATALI[QB]))&amp;":"&amp;ADDRESS(ROW(),COLUMN(ATALI[QB])))</f>
        <v>$D$3:$D$189</v>
      </c>
      <c r="Y189" s="14" t="str">
        <f ca="1">IF(ATALI[[#This Row],[//]]="","",HYPERLINK("[../DB.xlsx]DB!e"&amp;MATCH(ATALI[[#This Row],[concat]],[4]!db[NB NOTA_C],0)+1,"&gt;"))</f>
        <v>&gt;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NOTA]]="","",HYPERLINK("[NOTA_.xlsx]NOTA!e"&amp;INDEX([6]!PAJAK[//],MATCH(ATALI[[#This Row],[ID NOTA]],[6]!PAJAK[ID],0)),"&gt;") )</f>
        <v/>
      </c>
      <c r="D190" s="6" t="str">
        <f>IF(ATALI[[#This Row],[ID NOTA]]="","",INDEX(Table1[QB],MATCH(ATALI[[#This Row],[ID NOTA]],Table1[ID],0)))</f>
        <v/>
      </c>
      <c r="E1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902</v>
      </c>
      <c r="F190" s="6"/>
      <c r="G190" s="3" t="str">
        <f>IF(ATALI[[#This Row],[ID NOTA]]="","",INDEX([6]!NOTA[TGL_H],MATCH(ATALI[[#This Row],[ID NOTA]],[6]!NOTA[ID],0)))</f>
        <v/>
      </c>
      <c r="H190" s="3" t="str">
        <f>IF(ATALI[[#This Row],[ID NOTA]]="","",INDEX([6]!NOTA[TGL.NOTA],MATCH(ATALI[[#This Row],[ID NOTA]],[6]!NOTA[ID],0)))</f>
        <v/>
      </c>
      <c r="I190" s="4" t="str">
        <f>IF(ATALI[[#This Row],[ID NOTA]]="","",INDEX([6]!NOTA[NO.NOTA],MATCH(ATALI[[#This Row],[ID NOTA]],[6]!NOTA[ID],0)))</f>
        <v/>
      </c>
      <c r="J190" s="4" t="s">
        <v>332</v>
      </c>
      <c r="K190" s="6">
        <f ca="1">IF(ATALI[[#This Row],[//]]="","",IF(INDEX([6]!NOTA[C],ATALI[[#This Row],[//]]-2)="","",INDEX([6]!NOTA[C],ATALI[[#This Row],[//]]-2)))</f>
        <v>1</v>
      </c>
      <c r="L190" s="6">
        <f ca="1">IF(ATALI[[#This Row],[//]]="","",INDEX([6]!NOTA[QTY],ATALI[[#This Row],[//]]-2))</f>
        <v>144</v>
      </c>
      <c r="M190" s="6" t="str">
        <f ca="1">IF(ATALI[[#This Row],[//]]="","",INDEX([6]!NOTA[STN],ATALI[[#This Row],[//]]-2))</f>
        <v>SET</v>
      </c>
      <c r="N190" s="5">
        <f ca="1">IF(ATALI[[#This Row],[//]]="","",INDEX([6]!NOTA[HARGA SATUAN],ATALI[[#This Row],[//]]-2))</f>
        <v>16900</v>
      </c>
      <c r="O190" s="8">
        <f ca="1">IF(ATALI[[#This Row],[//]]="","",INDEX([6]!NOTA[DISC 1],ATALI[[#This Row],[//]]-2))</f>
        <v>0.125</v>
      </c>
      <c r="P190" s="8">
        <f ca="1">IF(ATALI[[#This Row],[//]]="","",INDEX([6]!NOTA[DISC 2],ATALI[[#This Row],[//]]-2))</f>
        <v>0.05</v>
      </c>
      <c r="Q190" s="5">
        <f ca="1">IF(ATALI[[#This Row],[//]]="","",INDEX([6]!NOTA[TOTAL],ATALI[[#This Row],[//]]-2))</f>
        <v>2022930</v>
      </c>
      <c r="R1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4" t="str">
        <f ca="1">IF(ATALI[[#This Row],[//]]="","",INDEX([6]!NOTA[NAMA BARANG],ATALI[[#This Row],[//]]-2))</f>
        <v>COLOR PENCIL CP-12TC JK</v>
      </c>
      <c r="V190" s="4" t="str">
        <f ca="1">LOWER(SUBSTITUTE(SUBSTITUTE(SUBSTITUTE(SUBSTITUTE(SUBSTITUTE(SUBSTITUTE(SUBSTITUTE(ATALI[[#This Row],[N.B.nota]]," ",""),"-",""),"(",""),")",""),".",""),",",""),"/",""))</f>
        <v>colorpencilcp12tcjk</v>
      </c>
      <c r="W190" s="4" t="s">
        <v>137</v>
      </c>
      <c r="X190" s="4" t="str">
        <f ca="1">IF(ATALI[[#This Row],[N.B.nota]]="","",ADDRESS(ROW(ATALI[QB]),COLUMN(ATALI[QB]))&amp;":"&amp;ADDRESS(ROW(),COLUMN(ATALI[QB])))</f>
        <v>$D$3:$D$190</v>
      </c>
      <c r="Y190" s="14" t="str">
        <f ca="1">IF(ATALI[[#This Row],[//]]="","",HYPERLINK("[../DB.xlsx]DB!e"&amp;MATCH(ATALI[[#This Row],[concat]],[4]!db[NB NOTA_C],0)+1,"&gt;"))</f>
        <v>&gt;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NOTA]]="","",HYPERLINK("[NOTA_.xlsx]NOTA!e"&amp;INDEX([6]!PAJAK[//],MATCH(ATALI[[#This Row],[ID NOTA]],[6]!PAJAK[ID],0)),"&gt;") )</f>
        <v/>
      </c>
      <c r="D191" s="6" t="str">
        <f>IF(ATALI[[#This Row],[ID NOTA]]="","",INDEX(Table1[QB],MATCH(ATALI[[#This Row],[ID NOTA]],Table1[ID],0)))</f>
        <v/>
      </c>
      <c r="E1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903</v>
      </c>
      <c r="F191" s="6"/>
      <c r="G191" s="3" t="str">
        <f>IF(ATALI[[#This Row],[ID NOTA]]="","",INDEX([6]!NOTA[TGL_H],MATCH(ATALI[[#This Row],[ID NOTA]],[6]!NOTA[ID],0)))</f>
        <v/>
      </c>
      <c r="H191" s="3" t="str">
        <f>IF(ATALI[[#This Row],[ID NOTA]]="","",INDEX([6]!NOTA[TGL.NOTA],MATCH(ATALI[[#This Row],[ID NOTA]],[6]!NOTA[ID],0)))</f>
        <v/>
      </c>
      <c r="I191" s="4" t="str">
        <f>IF(ATALI[[#This Row],[ID NOTA]]="","",INDEX([6]!NOTA[NO.NOTA],MATCH(ATALI[[#This Row],[ID NOTA]],[6]!NOTA[ID],0)))</f>
        <v/>
      </c>
      <c r="J191" s="4" t="s">
        <v>333</v>
      </c>
      <c r="K191" s="6">
        <f ca="1">IF(ATALI[[#This Row],[//]]="","",IF(INDEX([6]!NOTA[C],ATALI[[#This Row],[//]]-2)="","",INDEX([6]!NOTA[C],ATALI[[#This Row],[//]]-2)))</f>
        <v>1</v>
      </c>
      <c r="L191" s="6">
        <f ca="1">IF(ATALI[[#This Row],[//]]="","",INDEX([6]!NOTA[QTY],ATALI[[#This Row],[//]]-2))</f>
        <v>72</v>
      </c>
      <c r="M191" s="6" t="str">
        <f ca="1">IF(ATALI[[#This Row],[//]]="","",INDEX([6]!NOTA[STN],ATALI[[#This Row],[//]]-2))</f>
        <v>SET</v>
      </c>
      <c r="N191" s="5">
        <f ca="1">IF(ATALI[[#This Row],[//]]="","",INDEX([6]!NOTA[HARGA SATUAN],ATALI[[#This Row],[//]]-2))</f>
        <v>33800</v>
      </c>
      <c r="O191" s="8">
        <f ca="1">IF(ATALI[[#This Row],[//]]="","",INDEX([6]!NOTA[DISC 1],ATALI[[#This Row],[//]]-2))</f>
        <v>0.125</v>
      </c>
      <c r="P191" s="8">
        <f ca="1">IF(ATALI[[#This Row],[//]]="","",INDEX([6]!NOTA[DISC 2],ATALI[[#This Row],[//]]-2))</f>
        <v>0.05</v>
      </c>
      <c r="Q191" s="5">
        <f ca="1">IF(ATALI[[#This Row],[//]]="","",INDEX([6]!NOTA[TOTAL],ATALI[[#This Row],[//]]-2))</f>
        <v>2022930</v>
      </c>
      <c r="R1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4" t="str">
        <f ca="1">IF(ATALI[[#This Row],[//]]="","",INDEX([6]!NOTA[NAMA BARANG],ATALI[[#This Row],[//]]-2))</f>
        <v>COLOR PENCIL CP-24TC JK</v>
      </c>
      <c r="V191" s="4" t="str">
        <f ca="1">LOWER(SUBSTITUTE(SUBSTITUTE(SUBSTITUTE(SUBSTITUTE(SUBSTITUTE(SUBSTITUTE(SUBSTITUTE(ATALI[[#This Row],[N.B.nota]]," ",""),"-",""),"(",""),")",""),".",""),",",""),"/",""))</f>
        <v>colorpencilcp24tcjk</v>
      </c>
      <c r="W191" s="4" t="s">
        <v>137</v>
      </c>
      <c r="X191" s="4" t="str">
        <f ca="1">IF(ATALI[[#This Row],[N.B.nota]]="","",ADDRESS(ROW(ATALI[QB]),COLUMN(ATALI[QB]))&amp;":"&amp;ADDRESS(ROW(),COLUMN(ATALI[QB])))</f>
        <v>$D$3:$D$191</v>
      </c>
      <c r="Y191" s="14" t="str">
        <f ca="1">IF(ATALI[[#This Row],[//]]="","",HYPERLINK("[../DB.xlsx]DB!e"&amp;MATCH(ATALI[[#This Row],[concat]],[4]!db[NB NOTA_C],0)+1,"&gt;"))</f>
        <v>&gt;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NOTA]]="","",HYPERLINK("[NOTA_.xlsx]NOTA!e"&amp;INDEX([6]!PAJAK[//],MATCH(ATALI[[#This Row],[ID NOTA]],[6]!PAJAK[ID],0)),"&gt;") )</f>
        <v/>
      </c>
      <c r="D192" s="6" t="str">
        <f>IF(ATALI[[#This Row],[ID NOTA]]="","",INDEX(Table1[QB],MATCH(ATALI[[#This Row],[ID NOTA]],Table1[ID],0)))</f>
        <v/>
      </c>
      <c r="E19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904</v>
      </c>
      <c r="F192" s="6"/>
      <c r="G192" s="3" t="str">
        <f>IF(ATALI[[#This Row],[ID NOTA]]="","",INDEX([6]!NOTA[TGL_H],MATCH(ATALI[[#This Row],[ID NOTA]],[6]!NOTA[ID],0)))</f>
        <v/>
      </c>
      <c r="H192" s="3" t="str">
        <f>IF(ATALI[[#This Row],[ID NOTA]]="","",INDEX([6]!NOTA[TGL.NOTA],MATCH(ATALI[[#This Row],[ID NOTA]],[6]!NOTA[ID],0)))</f>
        <v/>
      </c>
      <c r="I192" s="4" t="str">
        <f>IF(ATALI[[#This Row],[ID NOTA]]="","",INDEX([6]!NOTA[NO.NOTA],MATCH(ATALI[[#This Row],[ID NOTA]],[6]!NOTA[ID],0)))</f>
        <v/>
      </c>
      <c r="J192" s="4" t="s">
        <v>343</v>
      </c>
      <c r="K192" s="6">
        <f ca="1">IF(ATALI[[#This Row],[//]]="","",IF(INDEX([6]!NOTA[C],ATALI[[#This Row],[//]]-2)="","",INDEX([6]!NOTA[C],ATALI[[#This Row],[//]]-2)))</f>
        <v>1</v>
      </c>
      <c r="L192" s="6">
        <f ca="1">IF(ATALI[[#This Row],[//]]="","",INDEX([6]!NOTA[QTY],ATALI[[#This Row],[//]]-2))</f>
        <v>144</v>
      </c>
      <c r="M192" s="6" t="str">
        <f ca="1">IF(ATALI[[#This Row],[//]]="","",INDEX([6]!NOTA[STN],ATALI[[#This Row],[//]]-2))</f>
        <v>DZ</v>
      </c>
      <c r="N192" s="5">
        <f ca="1">IF(ATALI[[#This Row],[//]]="","",INDEX([6]!NOTA[HARGA SATUAN],ATALI[[#This Row],[//]]-2))</f>
        <v>7020</v>
      </c>
      <c r="O192" s="8">
        <f ca="1">IF(ATALI[[#This Row],[//]]="","",INDEX([6]!NOTA[DISC 1],ATALI[[#This Row],[//]]-2))</f>
        <v>0.125</v>
      </c>
      <c r="P192" s="8">
        <f ca="1">IF(ATALI[[#This Row],[//]]="","",INDEX([6]!NOTA[DISC 2],ATALI[[#This Row],[//]]-2))</f>
        <v>0.05</v>
      </c>
      <c r="Q192" s="5">
        <f ca="1">IF(ATALI[[#This Row],[//]]="","",INDEX([6]!NOTA[TOTAL],ATALI[[#This Row],[//]]-2))</f>
        <v>840294</v>
      </c>
      <c r="R1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Row],[//]]="","",INDEX([6]!NOTA[NAMA BARANG],ATALI[[#This Row],[//]]-2))</f>
        <v>BALLPEN BP-251 FRODO (BLACK) JK</v>
      </c>
      <c r="V192" s="4" t="str">
        <f ca="1">LOWER(SUBSTITUTE(SUBSTITUTE(SUBSTITUTE(SUBSTITUTE(SUBSTITUTE(SUBSTITUTE(SUBSTITUTE(ATALI[[#This Row],[N.B.nota]]," ",""),"-",""),"(",""),")",""),".",""),",",""),"/",""))</f>
        <v>ballpenbp251frodoblackjk</v>
      </c>
      <c r="W192" s="4" t="s">
        <v>137</v>
      </c>
      <c r="X192" s="4" t="str">
        <f ca="1">IF(ATALI[[#This Row],[N.B.nota]]="","",ADDRESS(ROW(ATALI[QB]),COLUMN(ATALI[QB]))&amp;":"&amp;ADDRESS(ROW(),COLUMN(ATALI[QB])))</f>
        <v>$D$3:$D$192</v>
      </c>
      <c r="Y192" s="14" t="str">
        <f ca="1">IF(ATALI[[#This Row],[//]]="","",HYPERLINK("[../DB.xlsx]DB!e"&amp;MATCH(ATALI[[#This Row],[concat]],[4]!db[NB NOTA_C],0)+1,"&gt;"))</f>
        <v>&gt;</v>
      </c>
    </row>
    <row r="193" spans="1:25" x14ac:dyDescent="0.25">
      <c r="A193" s="4"/>
      <c r="B193" s="6" t="str">
        <f>IF(ATALI[[#This Row],[N_ID]]="","",INDEX(Table1[ID],MATCH(ATALI[[#This Row],[N_ID]],Table1[N_ID],0)))</f>
        <v/>
      </c>
      <c r="C193" s="6" t="str">
        <f>IF(ATALI[[#This Row],[ID NOTA]]="","",HYPERLINK("[NOTA_.xlsx]NOTA!e"&amp;INDEX([6]!PAJAK[//],MATCH(ATALI[[#This Row],[ID NOTA]],[6]!PAJAK[ID],0)),"&gt;") )</f>
        <v/>
      </c>
      <c r="D193" s="6" t="str">
        <f>IF(ATALI[[#This Row],[ID NOTA]]="","",INDEX(Table1[QB],MATCH(ATALI[[#This Row],[ID NOTA]],Table1[ID],0)))</f>
        <v/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905</v>
      </c>
      <c r="F193" s="6"/>
      <c r="G193" s="3" t="str">
        <f>IF(ATALI[[#This Row],[ID NOTA]]="","",INDEX([6]!NOTA[TGL_H],MATCH(ATALI[[#This Row],[ID NOTA]],[6]!NOTA[ID],0)))</f>
        <v/>
      </c>
      <c r="H193" s="3" t="str">
        <f>IF(ATALI[[#This Row],[ID NOTA]]="","",INDEX([6]!NOTA[TGL.NOTA],MATCH(ATALI[[#This Row],[ID NOTA]],[6]!NOTA[ID],0)))</f>
        <v/>
      </c>
      <c r="I193" s="4" t="str">
        <f>IF(ATALI[[#This Row],[ID NOTA]]="","",INDEX([6]!NOTA[NO.NOTA],MATCH(ATALI[[#This Row],[ID NOTA]],[6]!NOTA[ID],0)))</f>
        <v/>
      </c>
      <c r="J193" s="4" t="s">
        <v>344</v>
      </c>
      <c r="K193" s="6">
        <f ca="1">IF(ATALI[[#This Row],[//]]="","",IF(INDEX([6]!NOTA[C],ATALI[[#This Row],[//]]-2)="","",INDEX([6]!NOTA[C],ATALI[[#This Row],[//]]-2)))</f>
        <v>1</v>
      </c>
      <c r="L193" s="6">
        <f ca="1">IF(ATALI[[#This Row],[//]]="","",INDEX([6]!NOTA[QTY],ATALI[[#This Row],[//]]-2))</f>
        <v>144</v>
      </c>
      <c r="M193" s="6" t="str">
        <f ca="1">IF(ATALI[[#This Row],[//]]="","",INDEX([6]!NOTA[STN],ATALI[[#This Row],[//]]-2))</f>
        <v>DZ</v>
      </c>
      <c r="N193" s="5">
        <f ca="1">IF(ATALI[[#This Row],[//]]="","",INDEX([6]!NOTA[HARGA SATUAN],ATALI[[#This Row],[//]]-2))</f>
        <v>6600</v>
      </c>
      <c r="O193" s="8">
        <f ca="1">IF(ATALI[[#This Row],[//]]="","",INDEX([6]!NOTA[DISC 1],ATALI[[#This Row],[//]]-2))</f>
        <v>0.125</v>
      </c>
      <c r="P193" s="8">
        <f ca="1">IF(ATALI[[#This Row],[//]]="","",INDEX([6]!NOTA[DISC 2],ATALI[[#This Row],[//]]-2))</f>
        <v>0.05</v>
      </c>
      <c r="Q193" s="5">
        <f ca="1">IF(ATALI[[#This Row],[//]]="","",INDEX([6]!NOTA[TOTAL],ATALI[[#This Row],[//]]-2))</f>
        <v>790020</v>
      </c>
      <c r="R1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Row],[//]]="","",INDEX([6]!NOTA[NAMA BARANG],ATALI[[#This Row],[//]]-2))</f>
        <v>BALLPEN BP-254 MORA (BLACK) JK</v>
      </c>
      <c r="V193" s="4" t="str">
        <f ca="1">LOWER(SUBSTITUTE(SUBSTITUTE(SUBSTITUTE(SUBSTITUTE(SUBSTITUTE(SUBSTITUTE(SUBSTITUTE(ATALI[[#This Row],[N.B.nota]]," ",""),"-",""),"(",""),")",""),".",""),",",""),"/",""))</f>
        <v>ballpenbp254morablackjk</v>
      </c>
      <c r="W193" s="4" t="s">
        <v>137</v>
      </c>
      <c r="X193" s="4" t="str">
        <f ca="1">IF(ATALI[[#This Row],[N.B.nota]]="","",ADDRESS(ROW(ATALI[QB]),COLUMN(ATALI[QB]))&amp;":"&amp;ADDRESS(ROW(),COLUMN(ATALI[QB])))</f>
        <v>$D$3:$D$193</v>
      </c>
      <c r="Y193" s="14" t="str">
        <f ca="1">IF(ATALI[[#This Row],[//]]="","",HYPERLINK("[../DB.xlsx]DB!e"&amp;MATCH(ATALI[[#This Row],[concat]],[4]!db[NB NOTA_C],0)+1,"&gt;"))</f>
        <v>&gt;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NOTA]]="","",HYPERLINK("[NOTA_.xlsx]NOTA!e"&amp;INDEX([6]!PAJAK[//],MATCH(ATALI[[#This Row],[ID NOTA]],[6]!PAJAK[ID],0)),"&gt;") )</f>
        <v/>
      </c>
      <c r="D194" s="6" t="str">
        <f>IF(ATALI[[#This Row],[ID NOTA]]="","",INDEX(Table1[QB],MATCH(ATALI[[#This Row],[ID NOTA]],Table1[ID],0)))</f>
        <v/>
      </c>
      <c r="E1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906</v>
      </c>
      <c r="F194" s="6"/>
      <c r="G194" s="3" t="str">
        <f>IF(ATALI[[#This Row],[ID NOTA]]="","",INDEX([6]!NOTA[TGL_H],MATCH(ATALI[[#This Row],[ID NOTA]],[6]!NOTA[ID],0)))</f>
        <v/>
      </c>
      <c r="H194" s="3" t="str">
        <f>IF(ATALI[[#This Row],[ID NOTA]]="","",INDEX([6]!NOTA[TGL.NOTA],MATCH(ATALI[[#This Row],[ID NOTA]],[6]!NOTA[ID],0)))</f>
        <v/>
      </c>
      <c r="I194" s="4" t="str">
        <f>IF(ATALI[[#This Row],[ID NOTA]]="","",INDEX([6]!NOTA[NO.NOTA],MATCH(ATALI[[#This Row],[ID NOTA]],[6]!NOTA[ID],0)))</f>
        <v/>
      </c>
      <c r="J194" s="4" t="s">
        <v>345</v>
      </c>
      <c r="K194" s="6">
        <f ca="1">IF(ATALI[[#This Row],[//]]="","",IF(INDEX([6]!NOTA[C],ATALI[[#This Row],[//]]-2)="","",INDEX([6]!NOTA[C],ATALI[[#This Row],[//]]-2)))</f>
        <v>1</v>
      </c>
      <c r="L194" s="6">
        <f ca="1">IF(ATALI[[#This Row],[//]]="","",INDEX([6]!NOTA[QTY],ATALI[[#This Row],[//]]-2))</f>
        <v>144</v>
      </c>
      <c r="M194" s="6" t="str">
        <f ca="1">IF(ATALI[[#This Row],[//]]="","",INDEX([6]!NOTA[STN],ATALI[[#This Row],[//]]-2))</f>
        <v>DZ</v>
      </c>
      <c r="N194" s="5">
        <f ca="1">IF(ATALI[[#This Row],[//]]="","",INDEX([6]!NOTA[HARGA SATUAN],ATALI[[#This Row],[//]]-2))</f>
        <v>6900</v>
      </c>
      <c r="O194" s="8">
        <f ca="1">IF(ATALI[[#This Row],[//]]="","",INDEX([6]!NOTA[DISC 1],ATALI[[#This Row],[//]]-2))</f>
        <v>0.125</v>
      </c>
      <c r="P194" s="8">
        <f ca="1">IF(ATALI[[#This Row],[//]]="","",INDEX([6]!NOTA[DISC 2],ATALI[[#This Row],[//]]-2))</f>
        <v>0.05</v>
      </c>
      <c r="Q194" s="5">
        <f ca="1">IF(ATALI[[#This Row],[//]]="","",INDEX([6]!NOTA[TOTAL],ATALI[[#This Row],[//]]-2))</f>
        <v>825930</v>
      </c>
      <c r="R19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9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13414779</v>
      </c>
      <c r="T19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Row],[//]]="","",INDEX([6]!NOTA[NAMA BARANG],ATALI[[#This Row],[//]]-2))</f>
        <v>BALLPEN BP-249 LINO (BLACK) JK</v>
      </c>
      <c r="V194" s="4" t="str">
        <f ca="1">LOWER(SUBSTITUTE(SUBSTITUTE(SUBSTITUTE(SUBSTITUTE(SUBSTITUTE(SUBSTITUTE(SUBSTITUTE(ATALI[[#This Row],[N.B.nota]]," ",""),"-",""),"(",""),")",""),".",""),",",""),"/",""))</f>
        <v>ballpenbp249linoblackjk</v>
      </c>
      <c r="W194" s="4" t="s">
        <v>137</v>
      </c>
      <c r="X194" s="4" t="str">
        <f ca="1">IF(ATALI[[#This Row],[N.B.nota]]="","",ADDRESS(ROW(ATALI[QB]),COLUMN(ATALI[QB]))&amp;":"&amp;ADDRESS(ROW(),COLUMN(ATALI[QB])))</f>
        <v>$D$3:$D$194</v>
      </c>
      <c r="Y194" s="14" t="str">
        <f ca="1">IF(ATALI[[#This Row],[//]]="","",HYPERLINK("[../DB.xlsx]DB!e"&amp;MATCH(ATALI[[#This Row],[concat]],[4]!db[NB NOTA_C],0)+1,"&gt;"))</f>
        <v>&gt;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NOTA]]="","",HYPERLINK("[NOTA_.xlsx]NOTA!e"&amp;INDEX([6]!PAJAK[//],MATCH(ATALI[[#This Row],[ID NOTA]],[6]!PAJAK[ID],0)),"&gt;") )</f>
        <v/>
      </c>
      <c r="D195" s="6" t="str">
        <f>IF(ATALI[[#This Row],[ID NOTA]]="","",INDEX(Table1[QB],MATCH(ATALI[[#This Row],[ID NOTA]],Table1[ID],0)))</f>
        <v/>
      </c>
      <c r="E1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5" s="6"/>
      <c r="G195" s="3" t="str">
        <f>IF(ATALI[[#This Row],[ID NOTA]]="","",INDEX([6]!NOTA[TGL_H],MATCH(ATALI[[#This Row],[ID NOTA]],[6]!NOTA[ID],0)))</f>
        <v/>
      </c>
      <c r="H195" s="3" t="str">
        <f>IF(ATALI[[#This Row],[ID NOTA]]="","",INDEX([6]!NOTA[TGL.NOTA],MATCH(ATALI[[#This Row],[ID NOTA]],[6]!NOTA[ID],0)))</f>
        <v/>
      </c>
      <c r="I195" s="4" t="str">
        <f>IF(ATALI[[#This Row],[ID NOTA]]="","",INDEX([6]!NOTA[NO.NOTA],MATCH(ATALI[[#This Row],[ID NOTA]],[6]!NOTA[ID],0)))</f>
        <v/>
      </c>
      <c r="J195" s="4" t="s">
        <v>136</v>
      </c>
      <c r="K195" s="6" t="str">
        <f ca="1">IF(ATALI[[#This Row],[//]]="","",IF(INDEX([6]!NOTA[C],ATALI[[#This Row],[//]]-2)="","",INDEX([6]!NOTA[C],ATALI[[#This Row],[//]]-2)))</f>
        <v/>
      </c>
      <c r="L195" s="6" t="str">
        <f ca="1">IF(ATALI[[#This Row],[//]]="","",INDEX([6]!NOTA[QTY],ATALI[[#This Row],[//]]-2))</f>
        <v/>
      </c>
      <c r="M195" s="6" t="str">
        <f ca="1">IF(ATALI[[#This Row],[//]]="","",INDEX([6]!NOTA[STN],ATALI[[#This Row],[//]]-2))</f>
        <v/>
      </c>
      <c r="N195" s="5" t="str">
        <f ca="1">IF(ATALI[[#This Row],[//]]="","",INDEX([6]!NOTA[HARGA SATUAN],ATALI[[#This Row],[//]]-2))</f>
        <v/>
      </c>
      <c r="O195" s="8" t="str">
        <f ca="1">IF(ATALI[[#This Row],[//]]="","",INDEX([6]!NOTA[DISC 1],ATALI[[#This Row],[//]]-2))</f>
        <v/>
      </c>
      <c r="P195" s="8" t="str">
        <f ca="1">IF(ATALI[[#This Row],[//]]="","",INDEX([6]!NOTA[DISC 2],ATALI[[#This Row],[//]]-2))</f>
        <v/>
      </c>
      <c r="Q195" s="5" t="str">
        <f ca="1">IF(ATALI[[#This Row],[//]]="","",INDEX([6]!NOTA[TOTAL],ATALI[[#This Row],[//]]-2))</f>
        <v/>
      </c>
      <c r="R19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Row],[//]]="","",INDEX([6]!NOTA[NAMA BARANG],ATALI[[#This Row],[//]]-2))</f>
        <v/>
      </c>
      <c r="V195" s="4" t="str">
        <f ca="1">LOWER(SUBSTITUTE(SUBSTITUTE(SUBSTITUTE(SUBSTITUTE(SUBSTITUTE(SUBSTITUTE(SUBSTITUTE(ATALI[[#This Row],[N.B.nota]]," ",""),"-",""),"(",""),")",""),".",""),",",""),"/",""))</f>
        <v/>
      </c>
      <c r="W195" s="4" t="s">
        <v>136</v>
      </c>
      <c r="X195" s="4" t="str">
        <f ca="1">IF(ATALI[[#This Row],[N.B.nota]]="","",ADDRESS(ROW(ATALI[QB]),COLUMN(ATALI[QB]))&amp;":"&amp;ADDRESS(ROW(),COLUMN(ATALI[QB])))</f>
        <v/>
      </c>
      <c r="Y195" s="14" t="str">
        <f ca="1">IF(ATALI[[#This Row],[//]]="","",HYPERLINK("[../DB.xlsx]DB!e"&amp;MATCH(ATALI[[#This Row],[concat]],[4]!db[NB NOTA_C],0)+1,"&gt;"))</f>
        <v/>
      </c>
    </row>
    <row r="196" spans="1:25" x14ac:dyDescent="0.25">
      <c r="A196" s="4" t="s">
        <v>126</v>
      </c>
      <c r="B196" s="6">
        <f ca="1">IF(ATALI[[#This Row],[N_ID]]="","",INDEX(Table1[ID],MATCH(ATALI[[#This Row],[N_ID]],Table1[N_ID],0)))</f>
        <v>173</v>
      </c>
      <c r="C196" s="6" t="str">
        <f ca="1">IF(ATALI[[#This Row],[ID NOTA]]="","",HYPERLINK("[NOTA_.xlsx]NOTA!e"&amp;INDEX([6]!PAJAK[//],MATCH(ATALI[[#This Row],[ID NOTA]],[6]!PAJAK[ID],0)),"&gt;") )</f>
        <v>&gt;</v>
      </c>
      <c r="D196" s="6">
        <f ca="1">IF(ATALI[[#This Row],[ID NOTA]]="","",INDEX(Table1[QB],MATCH(ATALI[[#This Row],[ID NOTA]],Table1[ID],0)))</f>
        <v>4</v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908</v>
      </c>
      <c r="F196" s="6"/>
      <c r="G196" s="3">
        <f ca="1">IF(ATALI[[#This Row],[ID NOTA]]="","",INDEX([6]!NOTA[TGL_H],MATCH(ATALI[[#This Row],[ID NOTA]],[6]!NOTA[ID],0)))</f>
        <v>44771</v>
      </c>
      <c r="H196" s="3">
        <f ca="1">IF(ATALI[[#This Row],[ID NOTA]]="","",INDEX([6]!NOTA[TGL.NOTA],MATCH(ATALI[[#This Row],[ID NOTA]],[6]!NOTA[ID],0)))</f>
        <v>44765</v>
      </c>
      <c r="I196" s="4" t="str">
        <f ca="1">IF(ATALI[[#This Row],[ID NOTA]]="","",INDEX([6]!NOTA[NO.NOTA],MATCH(ATALI[[#This Row],[ID NOTA]],[6]!NOTA[ID],0)))</f>
        <v>SA220710799</v>
      </c>
      <c r="J196" s="4" t="s">
        <v>346</v>
      </c>
      <c r="K196" s="6">
        <f ca="1">IF(ATALI[[#This Row],[//]]="","",IF(INDEX([6]!NOTA[C],ATALI[[#This Row],[//]]-2)="","",INDEX([6]!NOTA[C],ATALI[[#This Row],[//]]-2)))</f>
        <v>4</v>
      </c>
      <c r="L196" s="6">
        <f ca="1">IF(ATALI[[#This Row],[//]]="","",INDEX([6]!NOTA[QTY],ATALI[[#This Row],[//]]-2))</f>
        <v>192</v>
      </c>
      <c r="M196" s="6" t="str">
        <f ca="1">IF(ATALI[[#This Row],[//]]="","",INDEX([6]!NOTA[STN],ATALI[[#This Row],[//]]-2))</f>
        <v>DZ</v>
      </c>
      <c r="N196" s="5">
        <f ca="1">IF(ATALI[[#This Row],[//]]="","",INDEX([6]!NOTA[HARGA SATUAN],ATALI[[#This Row],[//]]-2))</f>
        <v>36000</v>
      </c>
      <c r="O196" s="8">
        <f ca="1">IF(ATALI[[#This Row],[//]]="","",INDEX([6]!NOTA[DISC 1],ATALI[[#This Row],[//]]-2))</f>
        <v>0.125</v>
      </c>
      <c r="P196" s="8">
        <f ca="1">IF(ATALI[[#This Row],[//]]="","",INDEX([6]!NOTA[DISC 2],ATALI[[#This Row],[//]]-2))</f>
        <v>0.05</v>
      </c>
      <c r="Q196" s="5">
        <f ca="1">IF(ATALI[[#This Row],[//]]="","",INDEX([6]!NOTA[TOTAL],ATALI[[#This Row],[//]]-2))</f>
        <v>5745600</v>
      </c>
      <c r="R1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Row],[//]]="","",INDEX([6]!NOTA[NAMA BARANG],ATALI[[#This Row],[//]]-2))</f>
        <v>CORRECTION FLUID JK-101A JK</v>
      </c>
      <c r="V196" s="4" t="str">
        <f ca="1">LOWER(SUBSTITUTE(SUBSTITUTE(SUBSTITUTE(SUBSTITUTE(SUBSTITUTE(SUBSTITUTE(SUBSTITUTE(ATALI[[#This Row],[N.B.nota]]," ",""),"-",""),"(",""),")",""),".",""),",",""),"/",""))</f>
        <v>correctionfluidjk101ajk</v>
      </c>
      <c r="W196" s="4" t="s">
        <v>137</v>
      </c>
      <c r="X196" s="4" t="str">
        <f ca="1">IF(ATALI[[#This Row],[N.B.nota]]="","",ADDRESS(ROW(ATALI[QB]),COLUMN(ATALI[QB]))&amp;":"&amp;ADDRESS(ROW(),COLUMN(ATALI[QB])))</f>
        <v>$D$3:$D$196</v>
      </c>
      <c r="Y196" s="14" t="str">
        <f ca="1">IF(ATALI[[#This Row],[//]]="","",HYPERLINK("[../DB.xlsx]DB!e"&amp;MATCH(ATALI[[#This Row],[concat]],[4]!db[NB NOTA_C],0)+1,"&gt;"))</f>
        <v>&gt;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NOTA]]="","",HYPERLINK("[NOTA_.xlsx]NOTA!e"&amp;INDEX([6]!PAJAK[//],MATCH(ATALI[[#This Row],[ID NOTA]],[6]!PAJAK[ID],0)),"&gt;")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909</v>
      </c>
      <c r="F197" s="6"/>
      <c r="G197" s="3" t="str">
        <f>IF(ATALI[[#This Row],[ID NOTA]]="","",INDEX([6]!NOTA[TGL_H],MATCH(ATALI[[#This Row],[ID NOTA]],[6]!NOTA[ID],0)))</f>
        <v/>
      </c>
      <c r="H197" s="3" t="str">
        <f>IF(ATALI[[#This Row],[ID NOTA]]="","",INDEX([6]!NOTA[TGL.NOTA],MATCH(ATALI[[#This Row],[ID NOTA]],[6]!NOTA[ID],0)))</f>
        <v/>
      </c>
      <c r="I197" s="4" t="str">
        <f>IF(ATALI[[#This Row],[ID NOTA]]="","",INDEX([6]!NOTA[NO.NOTA],MATCH(ATALI[[#This Row],[ID NOTA]],[6]!NOTA[ID],0)))</f>
        <v/>
      </c>
      <c r="J197" s="4" t="s">
        <v>255</v>
      </c>
      <c r="K197" s="6" t="str">
        <f ca="1">IF(ATALI[[#This Row],[//]]="","",IF(INDEX([6]!NOTA[C],ATALI[[#This Row],[//]]-2)="","",INDEX([6]!NOTA[C],ATALI[[#This Row],[//]]-2)))</f>
        <v/>
      </c>
      <c r="L197" s="6">
        <f ca="1">IF(ATALI[[#This Row],[//]]="","",INDEX([6]!NOTA[QTY],ATALI[[#This Row],[//]]-2))</f>
        <v>24</v>
      </c>
      <c r="M197" s="6" t="str">
        <f ca="1">IF(ATALI[[#This Row],[//]]="","",INDEX([6]!NOTA[STN],ATALI[[#This Row],[//]]-2))</f>
        <v>DZ</v>
      </c>
      <c r="N197" s="5">
        <f ca="1">IF(ATALI[[#This Row],[//]]="","",INDEX([6]!NOTA[HARGA SATUAN],ATALI[[#This Row],[//]]-2))</f>
        <v>12600</v>
      </c>
      <c r="O197" s="8">
        <f ca="1">IF(ATALI[[#This Row],[//]]="","",INDEX([6]!NOTA[DISC 1],ATALI[[#This Row],[//]]-2))</f>
        <v>0.1</v>
      </c>
      <c r="P197" s="8">
        <f ca="1">IF(ATALI[[#This Row],[//]]="","",INDEX([6]!NOTA[DISC 2],ATALI[[#This Row],[//]]-2))</f>
        <v>0.05</v>
      </c>
      <c r="Q197" s="5">
        <f ca="1">IF(ATALI[[#This Row],[//]]="","",INDEX([6]!NOTA[TOTAL],ATALI[[#This Row],[//]]-2))</f>
        <v>258552</v>
      </c>
      <c r="R19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CORR FLUID JK-101A, JK-10, JK-01</v>
      </c>
      <c r="U197" s="4" t="str">
        <f ca="1">IF(ATALI[[#This Row],[//]]="","",INDEX([6]!NOTA[NAMA BARANG],ATALI[[#This Row],[//]]-2))</f>
        <v>BALLPEN BP-338 VOCUS (BLACK) JK</v>
      </c>
      <c r="V197" s="4" t="str">
        <f ca="1">LOWER(SUBSTITUTE(SUBSTITUTE(SUBSTITUTE(SUBSTITUTE(SUBSTITUTE(SUBSTITUTE(SUBSTITUTE(ATALI[[#This Row],[N.B.nota]]," ",""),"-",""),"(",""),")",""),".",""),",",""),"/",""))</f>
        <v>ballpenbp338vocusblackjk</v>
      </c>
      <c r="W197" s="4" t="s">
        <v>137</v>
      </c>
      <c r="X197" s="4" t="str">
        <f ca="1">IF(ATALI[[#This Row],[N.B.nota]]="","",ADDRESS(ROW(ATALI[QB]),COLUMN(ATALI[QB]))&amp;":"&amp;ADDRESS(ROW(),COLUMN(ATALI[QB])))</f>
        <v>$D$3:$D$197</v>
      </c>
      <c r="Y197" s="14" t="str">
        <f ca="1">IF(ATALI[[#This Row],[//]]="","",HYPERLINK("[../DB.xlsx]DB!e"&amp;MATCH(ATALI[[#This Row],[concat]],[4]!db[NB NOTA_C],0)+1,"&gt;"))</f>
        <v>&gt;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NOTA]]="","",HYPERLINK("[NOTA_.xlsx]NOTA!e"&amp;INDEX([6]!PAJAK[//],MATCH(ATALI[[#This Row],[ID NOTA]],[6]!PAJAK[ID],0)),"&gt;")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910</v>
      </c>
      <c r="F198" s="6"/>
      <c r="G198" s="3" t="str">
        <f>IF(ATALI[[#This Row],[ID NOTA]]="","",INDEX([6]!NOTA[TGL_H],MATCH(ATALI[[#This Row],[ID NOTA]],[6]!NOTA[ID],0)))</f>
        <v/>
      </c>
      <c r="H198" s="3" t="str">
        <f>IF(ATALI[[#This Row],[ID NOTA]]="","",INDEX([6]!NOTA[TGL.NOTA],MATCH(ATALI[[#This Row],[ID NOTA]],[6]!NOTA[ID],0)))</f>
        <v/>
      </c>
      <c r="I198" s="4" t="str">
        <f>IF(ATALI[[#This Row],[ID NOTA]]="","",INDEX([6]!NOTA[NO.NOTA],MATCH(ATALI[[#This Row],[ID NOTA]],[6]!NOTA[ID],0)))</f>
        <v/>
      </c>
      <c r="J198" s="4" t="s">
        <v>347</v>
      </c>
      <c r="K198" s="6">
        <f ca="1">IF(ATALI[[#This Row],[//]]="","",IF(INDEX([6]!NOTA[C],ATALI[[#This Row],[//]]-2)="","",INDEX([6]!NOTA[C],ATALI[[#This Row],[//]]-2)))</f>
        <v>4</v>
      </c>
      <c r="L198" s="6">
        <f ca="1">IF(ATALI[[#This Row],[//]]="","",INDEX([6]!NOTA[QTY],ATALI[[#This Row],[//]]-2))</f>
        <v>12</v>
      </c>
      <c r="M198" s="6" t="str">
        <f ca="1">IF(ATALI[[#This Row],[//]]="","",INDEX([6]!NOTA[STN],ATALI[[#This Row],[//]]-2))</f>
        <v>GRS</v>
      </c>
      <c r="N198" s="5">
        <f ca="1">IF(ATALI[[#This Row],[//]]="","",INDEX([6]!NOTA[HARGA SATUAN],ATALI[[#This Row],[//]]-2))</f>
        <v>507600</v>
      </c>
      <c r="O198" s="8">
        <f ca="1">IF(ATALI[[#This Row],[//]]="","",INDEX([6]!NOTA[DISC 1],ATALI[[#This Row],[//]]-2))</f>
        <v>0.125</v>
      </c>
      <c r="P198" s="8">
        <f ca="1">IF(ATALI[[#This Row],[//]]="","",INDEX([6]!NOTA[DISC 2],ATALI[[#This Row],[//]]-2))</f>
        <v>0.05</v>
      </c>
      <c r="Q198" s="5">
        <f ca="1">IF(ATALI[[#This Row],[//]]="","",INDEX([6]!NOTA[TOTAL],ATALI[[#This Row],[//]]-2))</f>
        <v>5063310</v>
      </c>
      <c r="R1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Row],[//]]="","",INDEX([6]!NOTA[NAMA BARANG],ATALI[[#This Row],[//]]-2))</f>
        <v>BINDER CLIP 280 JK</v>
      </c>
      <c r="V198" s="4" t="str">
        <f ca="1">LOWER(SUBSTITUTE(SUBSTITUTE(SUBSTITUTE(SUBSTITUTE(SUBSTITUTE(SUBSTITUTE(SUBSTITUTE(ATALI[[#This Row],[N.B.nota]]," ",""),"-",""),"(",""),")",""),".",""),",",""),"/",""))</f>
        <v>binderclip280jk</v>
      </c>
      <c r="W198" s="4" t="s">
        <v>137</v>
      </c>
      <c r="X198" s="4" t="str">
        <f ca="1">IF(ATALI[[#This Row],[N.B.nota]]="","",ADDRESS(ROW(ATALI[QB]),COLUMN(ATALI[QB]))&amp;":"&amp;ADDRESS(ROW(),COLUMN(ATALI[QB])))</f>
        <v>$D$3:$D$198</v>
      </c>
      <c r="Y198" s="14" t="str">
        <f ca="1">IF(ATALI[[#This Row],[//]]="","",HYPERLINK("[../DB.xlsx]DB!e"&amp;MATCH(ATALI[[#This Row],[concat]],[4]!db[NB NOTA_C],0)+1,"&gt;"))</f>
        <v>&gt;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NOTA]]="","",HYPERLINK("[NOTA_.xlsx]NOTA!e"&amp;INDEX([6]!PAJAK[//],MATCH(ATALI[[#This Row],[ID NOTA]],[6]!PAJAK[ID],0)),"&gt;")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911</v>
      </c>
      <c r="F199" s="6"/>
      <c r="G199" s="3" t="str">
        <f>IF(ATALI[[#This Row],[ID NOTA]]="","",INDEX([6]!NOTA[TGL_H],MATCH(ATALI[[#This Row],[ID NOTA]],[6]!NOTA[ID],0)))</f>
        <v/>
      </c>
      <c r="H199" s="3" t="str">
        <f>IF(ATALI[[#This Row],[ID NOTA]]="","",INDEX([6]!NOTA[TGL.NOTA],MATCH(ATALI[[#This Row],[ID NOTA]],[6]!NOTA[ID],0)))</f>
        <v/>
      </c>
      <c r="I199" s="4" t="str">
        <f>IF(ATALI[[#This Row],[ID NOTA]]="","",INDEX([6]!NOTA[NO.NOTA],MATCH(ATALI[[#This Row],[ID NOTA]],[6]!NOTA[ID],0)))</f>
        <v/>
      </c>
      <c r="J199" s="4" t="s">
        <v>255</v>
      </c>
      <c r="K199" s="6" t="str">
        <f ca="1">IF(ATALI[[#This Row],[//]]="","",IF(INDEX([6]!NOTA[C],ATALI[[#This Row],[//]]-2)="","",INDEX([6]!NOTA[C],ATALI[[#This Row],[//]]-2)))</f>
        <v/>
      </c>
      <c r="L199" s="6">
        <f ca="1">IF(ATALI[[#This Row],[//]]="","",INDEX([6]!NOTA[QTY],ATALI[[#This Row],[//]]-2))</f>
        <v>24</v>
      </c>
      <c r="M199" s="6" t="str">
        <f ca="1">IF(ATALI[[#This Row],[//]]="","",INDEX([6]!NOTA[STN],ATALI[[#This Row],[//]]-2))</f>
        <v>DZ</v>
      </c>
      <c r="N199" s="5">
        <f ca="1">IF(ATALI[[#This Row],[//]]="","",INDEX([6]!NOTA[HARGA SATUAN],ATALI[[#This Row],[//]]-2))</f>
        <v>12600</v>
      </c>
      <c r="O199" s="8">
        <f ca="1">IF(ATALI[[#This Row],[//]]="","",INDEX([6]!NOTA[DISC 1],ATALI[[#This Row],[//]]-2))</f>
        <v>0.1</v>
      </c>
      <c r="P199" s="8">
        <f ca="1">IF(ATALI[[#This Row],[//]]="","",INDEX([6]!NOTA[DISC 2],ATALI[[#This Row],[//]]-2))</f>
        <v>0.05</v>
      </c>
      <c r="Q199" s="5">
        <f ca="1">IF(ATALI[[#This Row],[//]]="","",INDEX([6]!NOTA[TOTAL],ATALI[[#This Row],[//]]-2))</f>
        <v>258552</v>
      </c>
      <c r="R199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517104</v>
      </c>
      <c r="S199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10808910</v>
      </c>
      <c r="T199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BINDER CLIP NO.105 S</v>
      </c>
      <c r="U199" s="4" t="str">
        <f ca="1">IF(ATALI[[#This Row],[//]]="","",INDEX([6]!NOTA[NAMA BARANG],ATALI[[#This Row],[//]]-2))</f>
        <v>BALLPEN BP-338 VOCUS (BLACK) JK</v>
      </c>
      <c r="V199" s="4" t="str">
        <f ca="1">LOWER(SUBSTITUTE(SUBSTITUTE(SUBSTITUTE(SUBSTITUTE(SUBSTITUTE(SUBSTITUTE(SUBSTITUTE(ATALI[[#This Row],[N.B.nota]]," ",""),"-",""),"(",""),")",""),".",""),",",""),"/",""))</f>
        <v>ballpenbp338vocusblackjk</v>
      </c>
      <c r="W199" s="4" t="s">
        <v>137</v>
      </c>
      <c r="X199" s="4" t="str">
        <f ca="1">IF(ATALI[[#This Row],[N.B.nota]]="","",ADDRESS(ROW(ATALI[QB]),COLUMN(ATALI[QB]))&amp;":"&amp;ADDRESS(ROW(),COLUMN(ATALI[QB])))</f>
        <v>$D$3:$D$199</v>
      </c>
      <c r="Y199" s="14" t="str">
        <f ca="1">IF(ATALI[[#This Row],[//]]="","",HYPERLINK("[../DB.xlsx]DB!e"&amp;MATCH(ATALI[[#This Row],[concat]],[4]!db[NB NOTA_C],0)+1,"&gt;"))</f>
        <v>&gt;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NOTA]]="","",HYPERLINK("[NOTA_.xlsx]NOTA!e"&amp;INDEX([6]!PAJAK[//],MATCH(ATALI[[#This Row],[ID NOTA]],[6]!PAJAK[ID],0)),"&gt;") )</f>
        <v/>
      </c>
      <c r="D200" s="6" t="str">
        <f>IF(ATALI[[#This Row],[ID NOTA]]="","",INDEX(Table1[QB],MATCH(ATALI[[#This Row],[ID NOTA]],Table1[ID],0)))</f>
        <v/>
      </c>
      <c r="E2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0" s="6"/>
      <c r="G200" s="3" t="str">
        <f>IF(ATALI[[#This Row],[ID NOTA]]="","",INDEX([6]!NOTA[TGL_H],MATCH(ATALI[[#This Row],[ID NOTA]],[6]!NOTA[ID],0)))</f>
        <v/>
      </c>
      <c r="H200" s="3" t="str">
        <f>IF(ATALI[[#This Row],[ID NOTA]]="","",INDEX([6]!NOTA[TGL.NOTA],MATCH(ATALI[[#This Row],[ID NOTA]],[6]!NOTA[ID],0)))</f>
        <v/>
      </c>
      <c r="I200" s="4" t="str">
        <f>IF(ATALI[[#This Row],[ID NOTA]]="","",INDEX([6]!NOTA[NO.NOTA],MATCH(ATALI[[#This Row],[ID NOTA]],[6]!NOTA[ID],0)))</f>
        <v/>
      </c>
      <c r="J200" s="4" t="s">
        <v>136</v>
      </c>
      <c r="K200" s="6" t="str">
        <f ca="1">IF(ATALI[[#This Row],[//]]="","",IF(INDEX([6]!NOTA[C],ATALI[[#This Row],[//]]-2)="","",INDEX([6]!NOTA[C],ATALI[[#This Row],[//]]-2)))</f>
        <v/>
      </c>
      <c r="L200" s="6" t="str">
        <f ca="1">IF(ATALI[[#This Row],[//]]="","",INDEX([6]!NOTA[QTY],ATALI[[#This Row],[//]]-2))</f>
        <v/>
      </c>
      <c r="M200" s="6" t="str">
        <f ca="1">IF(ATALI[[#This Row],[//]]="","",INDEX([6]!NOTA[STN],ATALI[[#This Row],[//]]-2))</f>
        <v/>
      </c>
      <c r="N200" s="5" t="str">
        <f ca="1">IF(ATALI[[#This Row],[//]]="","",INDEX([6]!NOTA[HARGA SATUAN],ATALI[[#This Row],[//]]-2))</f>
        <v/>
      </c>
      <c r="O200" s="8" t="str">
        <f ca="1">IF(ATALI[[#This Row],[//]]="","",INDEX([6]!NOTA[DISC 1],ATALI[[#This Row],[//]]-2))</f>
        <v/>
      </c>
      <c r="P200" s="8" t="str">
        <f ca="1">IF(ATALI[[#This Row],[//]]="","",INDEX([6]!NOTA[DISC 2],ATALI[[#This Row],[//]]-2))</f>
        <v/>
      </c>
      <c r="Q200" s="5" t="str">
        <f ca="1">IF(ATALI[[#This Row],[//]]="","",INDEX([6]!NOTA[TOTAL],ATALI[[#This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Row],[//]]="","",INDEX([6]!NOTA[NAMA BARANG],ATALI[[#This Row],[//]]-2))</f>
        <v/>
      </c>
      <c r="V200" s="4" t="str">
        <f ca="1">LOWER(SUBSTITUTE(SUBSTITUTE(SUBSTITUTE(SUBSTITUTE(SUBSTITUTE(SUBSTITUTE(SUBSTITUTE(ATALI[[#This Row],[N.B.nota]]," ",""),"-",""),"(",""),")",""),".",""),",",""),"/",""))</f>
        <v/>
      </c>
      <c r="W200" s="4" t="s">
        <v>136</v>
      </c>
      <c r="X200" s="4" t="str">
        <f ca="1">IF(ATALI[[#This Row],[N.B.nota]]="","",ADDRESS(ROW(ATALI[QB]),COLUMN(ATALI[QB]))&amp;":"&amp;ADDRESS(ROW(),COLUMN(ATALI[QB])))</f>
        <v/>
      </c>
      <c r="Y200" s="14" t="str">
        <f ca="1">IF(ATALI[[#This Row],[//]]="","",HYPERLINK("[../DB.xlsx]DB!e"&amp;MATCH(ATALI[[#This Row],[concat]],[4]!db[NB NOTA_C],0)+1,"&gt;"))</f>
        <v/>
      </c>
    </row>
    <row r="201" spans="1:25" x14ac:dyDescent="0.25">
      <c r="A201" s="4" t="s">
        <v>121</v>
      </c>
      <c r="B201" s="6">
        <f ca="1">IF(ATALI[[#This Row],[N_ID]]="","",INDEX(Table1[ID],MATCH(ATALI[[#This Row],[N_ID]],Table1[N_ID],0)))</f>
        <v>169</v>
      </c>
      <c r="C201" s="6" t="str">
        <f ca="1">IF(ATALI[[#This Row],[ID NOTA]]="","",HYPERLINK("[NOTA_.xlsx]NOTA!e"&amp;INDEX([6]!PAJAK[//],MATCH(ATALI[[#This Row],[ID NOTA]],[6]!PAJAK[ID],0)),"&gt;") )</f>
        <v>&gt;</v>
      </c>
      <c r="D201" s="6">
        <f ca="1">IF(ATALI[[#This Row],[ID NOTA]]="","",INDEX(Table1[QB],MATCH(ATALI[[#This Row],[ID NOTA]],Table1[ID],0)))</f>
        <v>4</v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876</v>
      </c>
      <c r="F201" s="6"/>
      <c r="G201" s="3">
        <f ca="1">IF(ATALI[[#This Row],[ID NOTA]]="","",INDEX([6]!NOTA[TGL_H],MATCH(ATALI[[#This Row],[ID NOTA]],[6]!NOTA[ID],0)))</f>
        <v>44771</v>
      </c>
      <c r="H201" s="3">
        <f ca="1">IF(ATALI[[#This Row],[ID NOTA]]="","",INDEX([6]!NOTA[TGL.NOTA],MATCH(ATALI[[#This Row],[ID NOTA]],[6]!NOTA[ID],0)))</f>
        <v>44765</v>
      </c>
      <c r="I201" s="4" t="str">
        <f ca="1">IF(ATALI[[#This Row],[ID NOTA]]="","",INDEX([6]!NOTA[NO.NOTA],MATCH(ATALI[[#This Row],[ID NOTA]],[6]!NOTA[ID],0)))</f>
        <v>SA220710855</v>
      </c>
      <c r="J201" s="4" t="s">
        <v>337</v>
      </c>
      <c r="K201" s="6">
        <f ca="1">IF(ATALI[[#This Row],[//]]="","",IF(INDEX([6]!NOTA[C],ATALI[[#This Row],[//]]-2)="","",INDEX([6]!NOTA[C],ATALI[[#This Row],[//]]-2)))</f>
        <v>10</v>
      </c>
      <c r="L201" s="6">
        <f ca="1">IF(ATALI[[#This Row],[//]]="","",INDEX([6]!NOTA[QTY],ATALI[[#This Row],[//]]-2))</f>
        <v>500</v>
      </c>
      <c r="M201" s="6" t="str">
        <f ca="1">IF(ATALI[[#This Row],[//]]="","",INDEX([6]!NOTA[STN],ATALI[[#This Row],[//]]-2))</f>
        <v>BOX</v>
      </c>
      <c r="N201" s="5">
        <f ca="1">IF(ATALI[[#This Row],[//]]="","",INDEX([6]!NOTA[HARGA SATUAN],ATALI[[#This Row],[//]]-2))</f>
        <v>34100</v>
      </c>
      <c r="O201" s="8">
        <f ca="1">IF(ATALI[[#This Row],[//]]="","",INDEX([6]!NOTA[DISC 1],ATALI[[#This Row],[//]]-2))</f>
        <v>0.125</v>
      </c>
      <c r="P201" s="8">
        <f ca="1">IF(ATALI[[#This Row],[//]]="","",INDEX([6]!NOTA[DISC 2],ATALI[[#This Row],[//]]-2))</f>
        <v>0.05</v>
      </c>
      <c r="Q201" s="5">
        <f ca="1">IF(ATALI[[#This Row],[//]]="","",INDEX([6]!NOTA[TOTAL],ATALI[[#This Row],[//]]-2))</f>
        <v>14172812.5</v>
      </c>
      <c r="R2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Row],[//]]="","",INDEX([6]!NOTA[NAMA BARANG],ATALI[[#This Row],[//]]-2))</f>
        <v>ERASER 526-B20 JK</v>
      </c>
      <c r="V201" s="4" t="str">
        <f ca="1">LOWER(SUBSTITUTE(SUBSTITUTE(SUBSTITUTE(SUBSTITUTE(SUBSTITUTE(SUBSTITUTE(SUBSTITUTE(ATALI[[#This Row],[N.B.nota]]," ",""),"-",""),"(",""),")",""),".",""),",",""),"/",""))</f>
        <v>eraser526b20jk</v>
      </c>
      <c r="W201" s="4" t="s">
        <v>137</v>
      </c>
      <c r="X201" s="4" t="str">
        <f ca="1">IF(ATALI[[#This Row],[N.B.nota]]="","",ADDRESS(ROW(ATALI[QB]),COLUMN(ATALI[QB]))&amp;":"&amp;ADDRESS(ROW(),COLUMN(ATALI[QB])))</f>
        <v>$D$3:$D$201</v>
      </c>
      <c r="Y201" s="14" t="str">
        <f ca="1">IF(ATALI[[#This Row],[//]]="","",HYPERLINK("[../DB.xlsx]DB!e"&amp;MATCH(ATALI[[#This Row],[concat]],[4]!db[NB NOTA_C],0)+1,"&gt;"))</f>
        <v>&gt;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NOTA]]="","",HYPERLINK("[NOTA_.xlsx]NOTA!e"&amp;INDEX([6]!PAJAK[//],MATCH(ATALI[[#This Row],[ID NOTA]],[6]!PAJAK[ID],0)),"&gt;")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877</v>
      </c>
      <c r="F202" s="6"/>
      <c r="G202" s="3" t="str">
        <f>IF(ATALI[[#This Row],[ID NOTA]]="","",INDEX([6]!NOTA[TGL_H],MATCH(ATALI[[#This Row],[ID NOTA]],[6]!NOTA[ID],0)))</f>
        <v/>
      </c>
      <c r="H202" s="3" t="str">
        <f>IF(ATALI[[#This Row],[ID NOTA]]="","",INDEX([6]!NOTA[TGL.NOTA],MATCH(ATALI[[#This Row],[ID NOTA]],[6]!NOTA[ID],0)))</f>
        <v/>
      </c>
      <c r="I202" s="4" t="str">
        <f>IF(ATALI[[#This Row],[ID NOTA]]="","",INDEX([6]!NOTA[NO.NOTA],MATCH(ATALI[[#This Row],[ID NOTA]],[6]!NOTA[ID],0)))</f>
        <v/>
      </c>
      <c r="J202" s="4" t="s">
        <v>348</v>
      </c>
      <c r="K202" s="6">
        <f ca="1">IF(ATALI[[#This Row],[//]]="","",IF(INDEX([6]!NOTA[C],ATALI[[#This Row],[//]]-2)="","",INDEX([6]!NOTA[C],ATALI[[#This Row],[//]]-2)))</f>
        <v>1</v>
      </c>
      <c r="L202" s="6">
        <f ca="1">IF(ATALI[[#This Row],[//]]="","",INDEX([6]!NOTA[QTY],ATALI[[#This Row],[//]]-2))</f>
        <v>50</v>
      </c>
      <c r="M202" s="6" t="str">
        <f ca="1">IF(ATALI[[#This Row],[//]]="","",INDEX([6]!NOTA[STN],ATALI[[#This Row],[//]]-2))</f>
        <v>BOX</v>
      </c>
      <c r="N202" s="5">
        <f ca="1">IF(ATALI[[#This Row],[//]]="","",INDEX([6]!NOTA[HARGA SATUAN],ATALI[[#This Row],[//]]-2))</f>
        <v>34100</v>
      </c>
      <c r="O202" s="8">
        <f ca="1">IF(ATALI[[#This Row],[//]]="","",INDEX([6]!NOTA[DISC 1],ATALI[[#This Row],[//]]-2))</f>
        <v>0.125</v>
      </c>
      <c r="P202" s="8">
        <f ca="1">IF(ATALI[[#This Row],[//]]="","",INDEX([6]!NOTA[DISC 2],ATALI[[#This Row],[//]]-2))</f>
        <v>0.05</v>
      </c>
      <c r="Q202" s="5">
        <f ca="1">IF(ATALI[[#This Row],[//]]="","",INDEX([6]!NOTA[TOTAL],ATALI[[#This Row],[//]]-2))</f>
        <v>1417281.25</v>
      </c>
      <c r="R2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Row],[//]]="","",INDEX([6]!NOTA[NAMA BARANG],ATALI[[#This Row],[//]]-2))</f>
        <v>ERASER ER-B20BL JK</v>
      </c>
      <c r="V202" s="4" t="str">
        <f ca="1">LOWER(SUBSTITUTE(SUBSTITUTE(SUBSTITUTE(SUBSTITUTE(SUBSTITUTE(SUBSTITUTE(SUBSTITUTE(ATALI[[#This Row],[N.B.nota]]," ",""),"-",""),"(",""),")",""),".",""),",",""),"/",""))</f>
        <v>erasererb20bljk</v>
      </c>
      <c r="W202" s="4" t="s">
        <v>137</v>
      </c>
      <c r="X202" s="4" t="str">
        <f ca="1">IF(ATALI[[#This Row],[N.B.nota]]="","",ADDRESS(ROW(ATALI[QB]),COLUMN(ATALI[QB]))&amp;":"&amp;ADDRESS(ROW(),COLUMN(ATALI[QB])))</f>
        <v>$D$3:$D$202</v>
      </c>
      <c r="Y202" s="14" t="str">
        <f ca="1">IF(ATALI[[#This Row],[//]]="","",HYPERLINK("[../DB.xlsx]DB!e"&amp;MATCH(ATALI[[#This Row],[concat]],[4]!db[NB NOTA_C],0)+1,"&gt;"))</f>
        <v>&gt;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NOTA]]="","",HYPERLINK("[NOTA_.xlsx]NOTA!e"&amp;INDEX([6]!PAJAK[//],MATCH(ATALI[[#This Row],[ID NOTA]],[6]!PAJAK[ID],0)),"&gt;") )</f>
        <v/>
      </c>
      <c r="D203" s="6" t="str">
        <f>IF(ATALI[[#This Row],[ID NOTA]]="","",INDEX(Table1[QB],MATCH(ATALI[[#This Row],[ID NOTA]],Table1[ID],0)))</f>
        <v/>
      </c>
      <c r="E2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878</v>
      </c>
      <c r="F203" s="6"/>
      <c r="G203" s="3" t="str">
        <f>IF(ATALI[[#This Row],[ID NOTA]]="","",INDEX([6]!NOTA[TGL_H],MATCH(ATALI[[#This Row],[ID NOTA]],[6]!NOTA[ID],0)))</f>
        <v/>
      </c>
      <c r="H203" s="3" t="str">
        <f>IF(ATALI[[#This Row],[ID NOTA]]="","",INDEX([6]!NOTA[TGL.NOTA],MATCH(ATALI[[#This Row],[ID NOTA]],[6]!NOTA[ID],0)))</f>
        <v/>
      </c>
      <c r="I203" s="4" t="str">
        <f>IF(ATALI[[#This Row],[ID NOTA]]="","",INDEX([6]!NOTA[NO.NOTA],MATCH(ATALI[[#This Row],[ID NOTA]],[6]!NOTA[ID],0)))</f>
        <v/>
      </c>
      <c r="J203" s="4" t="s">
        <v>349</v>
      </c>
      <c r="K203" s="6">
        <f ca="1">IF(ATALI[[#This Row],[//]]="","",IF(INDEX([6]!NOTA[C],ATALI[[#This Row],[//]]-2)="","",INDEX([6]!NOTA[C],ATALI[[#This Row],[//]]-2)))</f>
        <v>2</v>
      </c>
      <c r="L203" s="6">
        <f ca="1">IF(ATALI[[#This Row],[//]]="","",INDEX([6]!NOTA[QTY],ATALI[[#This Row],[//]]-2))</f>
        <v>100</v>
      </c>
      <c r="M203" s="6" t="str">
        <f ca="1">IF(ATALI[[#This Row],[//]]="","",INDEX([6]!NOTA[STN],ATALI[[#This Row],[//]]-2))</f>
        <v>BOX</v>
      </c>
      <c r="N203" s="5">
        <f ca="1">IF(ATALI[[#This Row],[//]]="","",INDEX([6]!NOTA[HARGA SATUAN],ATALI[[#This Row],[//]]-2))</f>
        <v>28300</v>
      </c>
      <c r="O203" s="8">
        <f ca="1">IF(ATALI[[#This Row],[//]]="","",INDEX([6]!NOTA[DISC 1],ATALI[[#This Row],[//]]-2))</f>
        <v>0.125</v>
      </c>
      <c r="P203" s="8">
        <f ca="1">IF(ATALI[[#This Row],[//]]="","",INDEX([6]!NOTA[DISC 2],ATALI[[#This Row],[//]]-2))</f>
        <v>0.05</v>
      </c>
      <c r="Q203" s="5">
        <f ca="1">IF(ATALI[[#This Row],[//]]="","",INDEX([6]!NOTA[TOTAL],ATALI[[#This Row],[//]]-2))</f>
        <v>2352437.5</v>
      </c>
      <c r="R2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Row],[//]]="","",INDEX([6]!NOTA[NAMA BARANG],ATALI[[#This Row],[//]]-2))</f>
        <v>ERASER 526-B40BL JK</v>
      </c>
      <c r="V203" s="4" t="str">
        <f ca="1">LOWER(SUBSTITUTE(SUBSTITUTE(SUBSTITUTE(SUBSTITUTE(SUBSTITUTE(SUBSTITUTE(SUBSTITUTE(ATALI[[#This Row],[N.B.nota]]," ",""),"-",""),"(",""),")",""),".",""),",",""),"/",""))</f>
        <v>eraser526b40bljk</v>
      </c>
      <c r="W203" s="4" t="s">
        <v>137</v>
      </c>
      <c r="X203" s="4" t="str">
        <f ca="1">IF(ATALI[[#This Row],[N.B.nota]]="","",ADDRESS(ROW(ATALI[QB]),COLUMN(ATALI[QB]))&amp;":"&amp;ADDRESS(ROW(),COLUMN(ATALI[QB])))</f>
        <v>$D$3:$D$203</v>
      </c>
      <c r="Y203" s="14" t="str">
        <f ca="1">IF(ATALI[[#This Row],[//]]="","",HYPERLINK("[../DB.xlsx]DB!e"&amp;MATCH(ATALI[[#This Row],[concat]],[4]!db[NB NOTA_C],0)+1,"&gt;"))</f>
        <v>&gt;</v>
      </c>
    </row>
    <row r="204" spans="1:25" x14ac:dyDescent="0.25">
      <c r="A204" s="4"/>
      <c r="B204" s="6" t="str">
        <f>IF(ATALI[[#This Row],[N_ID]]="","",INDEX(Table1[ID],MATCH(ATALI[[#This Row],[N_ID]],Table1[N_ID],0)))</f>
        <v/>
      </c>
      <c r="C204" s="6" t="str">
        <f>IF(ATALI[[#This Row],[ID NOTA]]="","",HYPERLINK("[NOTA_.xlsx]NOTA!e"&amp;INDEX([6]!PAJAK[//],MATCH(ATALI[[#This Row],[ID NOTA]],[6]!PAJAK[ID],0)),"&gt;") )</f>
        <v/>
      </c>
      <c r="D204" s="6" t="str">
        <f>IF(ATALI[[#This Row],[ID NOTA]]="","",INDEX(Table1[QB],MATCH(ATALI[[#This Row],[ID NOTA]],Table1[ID],0)))</f>
        <v/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879</v>
      </c>
      <c r="F204" s="6"/>
      <c r="G204" s="3" t="str">
        <f>IF(ATALI[[#This Row],[ID NOTA]]="","",INDEX([6]!NOTA[TGL_H],MATCH(ATALI[[#This Row],[ID NOTA]],[6]!NOTA[ID],0)))</f>
        <v/>
      </c>
      <c r="H204" s="3" t="str">
        <f>IF(ATALI[[#This Row],[ID NOTA]]="","",INDEX([6]!NOTA[TGL.NOTA],MATCH(ATALI[[#This Row],[ID NOTA]],[6]!NOTA[ID],0)))</f>
        <v/>
      </c>
      <c r="I204" s="4" t="str">
        <f>IF(ATALI[[#This Row],[ID NOTA]]="","",INDEX([6]!NOTA[NO.NOTA],MATCH(ATALI[[#This Row],[ID NOTA]],[6]!NOTA[ID],0)))</f>
        <v/>
      </c>
      <c r="J204" s="4" t="s">
        <v>336</v>
      </c>
      <c r="K204" s="6">
        <f ca="1">IF(ATALI[[#This Row],[//]]="","",IF(INDEX([6]!NOTA[C],ATALI[[#This Row],[//]]-2)="","",INDEX([6]!NOTA[C],ATALI[[#This Row],[//]]-2)))</f>
        <v>10</v>
      </c>
      <c r="L204" s="6">
        <f ca="1">IF(ATALI[[#This Row],[//]]="","",INDEX([6]!NOTA[QTY],ATALI[[#This Row],[//]]-2))</f>
        <v>500</v>
      </c>
      <c r="M204" s="6" t="str">
        <f ca="1">IF(ATALI[[#This Row],[//]]="","",INDEX([6]!NOTA[STN],ATALI[[#This Row],[//]]-2))</f>
        <v>BOX</v>
      </c>
      <c r="N204" s="5">
        <f ca="1">IF(ATALI[[#This Row],[//]]="","",INDEX([6]!NOTA[HARGA SATUAN],ATALI[[#This Row],[//]]-2))</f>
        <v>28300</v>
      </c>
      <c r="O204" s="8">
        <f ca="1">IF(ATALI[[#This Row],[//]]="","",INDEX([6]!NOTA[DISC 1],ATALI[[#This Row],[//]]-2))</f>
        <v>0.125</v>
      </c>
      <c r="P204" s="8">
        <f ca="1">IF(ATALI[[#This Row],[//]]="","",INDEX([6]!NOTA[DISC 2],ATALI[[#This Row],[//]]-2))</f>
        <v>0.05</v>
      </c>
      <c r="Q204" s="5">
        <f ca="1">IF(ATALI[[#This Row],[//]]="","",INDEX([6]!NOTA[TOTAL],ATALI[[#This Row],[//]]-2))</f>
        <v>11762187.5</v>
      </c>
      <c r="R20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0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29704718.75</v>
      </c>
      <c r="T20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Row],[//]]="","",INDEX([6]!NOTA[NAMA BARANG],ATALI[[#This Row],[//]]-2))</f>
        <v>ERASER 526-B40P JK</v>
      </c>
      <c r="V204" s="4" t="str">
        <f ca="1">LOWER(SUBSTITUTE(SUBSTITUTE(SUBSTITUTE(SUBSTITUTE(SUBSTITUTE(SUBSTITUTE(SUBSTITUTE(ATALI[[#This Row],[N.B.nota]]," ",""),"-",""),"(",""),")",""),".",""),",",""),"/",""))</f>
        <v>eraser526b40pjk</v>
      </c>
      <c r="W204" s="4" t="s">
        <v>137</v>
      </c>
      <c r="X204" s="4" t="str">
        <f ca="1">IF(ATALI[[#This Row],[N.B.nota]]="","",ADDRESS(ROW(ATALI[QB]),COLUMN(ATALI[QB]))&amp;":"&amp;ADDRESS(ROW(),COLUMN(ATALI[QB])))</f>
        <v>$D$3:$D$204</v>
      </c>
      <c r="Y204" s="14" t="str">
        <f ca="1">IF(ATALI[[#This Row],[//]]="","",HYPERLINK("[../DB.xlsx]DB!e"&amp;MATCH(ATALI[[#This Row],[concat]],[4]!db[NB NOTA_C],0)+1,"&gt;"))</f>
        <v>&gt;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NOTA]]="","",HYPERLINK("[NOTA_.xlsx]NOTA!e"&amp;INDEX([6]!PAJAK[//],MATCH(ATALI[[#This Row],[ID NOTA]],[6]!PAJAK[ID],0)),"&gt;") )</f>
        <v/>
      </c>
      <c r="D205" s="6" t="str">
        <f>IF(ATALI[[#This Row],[ID NOTA]]="","",INDEX(Table1[QB],MATCH(ATALI[[#This Row],[ID NOTA]],Table1[ID],0)))</f>
        <v/>
      </c>
      <c r="E2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5" s="6"/>
      <c r="G205" s="3" t="str">
        <f>IF(ATALI[[#This Row],[ID NOTA]]="","",INDEX([6]!NOTA[TGL_H],MATCH(ATALI[[#This Row],[ID NOTA]],[6]!NOTA[ID],0)))</f>
        <v/>
      </c>
      <c r="H205" s="3" t="str">
        <f>IF(ATALI[[#This Row],[ID NOTA]]="","",INDEX([6]!NOTA[TGL.NOTA],MATCH(ATALI[[#This Row],[ID NOTA]],[6]!NOTA[ID],0)))</f>
        <v/>
      </c>
      <c r="I205" s="4" t="str">
        <f>IF(ATALI[[#This Row],[ID NOTA]]="","",INDEX([6]!NOTA[NO.NOTA],MATCH(ATALI[[#This Row],[ID NOTA]],[6]!NOTA[ID],0)))</f>
        <v/>
      </c>
      <c r="J205" s="4" t="s">
        <v>136</v>
      </c>
      <c r="K205" s="6" t="str">
        <f ca="1">IF(ATALI[[#This Row],[//]]="","",IF(INDEX([6]!NOTA[C],ATALI[[#This Row],[//]]-2)="","",INDEX([6]!NOTA[C],ATALI[[#This Row],[//]]-2)))</f>
        <v/>
      </c>
      <c r="L205" s="6" t="str">
        <f ca="1">IF(ATALI[[#This Row],[//]]="","",INDEX([6]!NOTA[QTY],ATALI[[#This Row],[//]]-2))</f>
        <v/>
      </c>
      <c r="M205" s="6" t="str">
        <f ca="1">IF(ATALI[[#This Row],[//]]="","",INDEX([6]!NOTA[STN],ATALI[[#This Row],[//]]-2))</f>
        <v/>
      </c>
      <c r="N205" s="5" t="str">
        <f ca="1">IF(ATALI[[#This Row],[//]]="","",INDEX([6]!NOTA[HARGA SATUAN],ATALI[[#This Row],[//]]-2))</f>
        <v/>
      </c>
      <c r="O205" s="8" t="str">
        <f ca="1">IF(ATALI[[#This Row],[//]]="","",INDEX([6]!NOTA[DISC 1],ATALI[[#This Row],[//]]-2))</f>
        <v/>
      </c>
      <c r="P205" s="8" t="str">
        <f ca="1">IF(ATALI[[#This Row],[//]]="","",INDEX([6]!NOTA[DISC 2],ATALI[[#This Row],[//]]-2))</f>
        <v/>
      </c>
      <c r="Q205" s="5" t="str">
        <f ca="1">IF(ATALI[[#This Row],[//]]="","",INDEX([6]!NOTA[TOTAL],ATALI[[#This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Row],[//]]="","",INDEX([6]!NOTA[NAMA BARANG],ATALI[[#This Row],[//]]-2))</f>
        <v/>
      </c>
      <c r="V205" s="4" t="str">
        <f ca="1">LOWER(SUBSTITUTE(SUBSTITUTE(SUBSTITUTE(SUBSTITUTE(SUBSTITUTE(SUBSTITUTE(SUBSTITUTE(ATALI[[#This Row],[N.B.nota]]," ",""),"-",""),"(",""),")",""),".",""),",",""),"/",""))</f>
        <v/>
      </c>
      <c r="W205" s="4" t="s">
        <v>136</v>
      </c>
      <c r="X205" s="4" t="str">
        <f ca="1">IF(ATALI[[#This Row],[N.B.nota]]="","",ADDRESS(ROW(ATALI[QB]),COLUMN(ATALI[QB]))&amp;":"&amp;ADDRESS(ROW(),COLUMN(ATALI[QB])))</f>
        <v/>
      </c>
      <c r="Y205" s="14" t="str">
        <f ca="1">IF(ATALI[[#This Row],[//]]="","",HYPERLINK("[../DB.xlsx]DB!e"&amp;MATCH(ATALI[[#This Row],[concat]],[4]!db[NB NOTA_C],0)+1,"&gt;"))</f>
        <v/>
      </c>
    </row>
    <row r="206" spans="1:25" x14ac:dyDescent="0.25">
      <c r="A206" s="4" t="s">
        <v>122</v>
      </c>
      <c r="B206" s="6">
        <f ca="1">IF(ATALI[[#This Row],[N_ID]]="","",INDEX(Table1[ID],MATCH(ATALI[[#This Row],[N_ID]],Table1[N_ID],0)))</f>
        <v>170</v>
      </c>
      <c r="C206" s="6" t="str">
        <f ca="1">IF(ATALI[[#This Row],[ID NOTA]]="","",HYPERLINK("[NOTA_.xlsx]NOTA!e"&amp;INDEX([6]!PAJAK[//],MATCH(ATALI[[#This Row],[ID NOTA]],[6]!PAJAK[ID],0)),"&gt;") )</f>
        <v>&gt;</v>
      </c>
      <c r="D206" s="6">
        <f ca="1">IF(ATALI[[#This Row],[ID NOTA]]="","",INDEX(Table1[QB],MATCH(ATALI[[#This Row],[ID NOTA]],Table1[ID],0)))</f>
        <v>6</v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881</v>
      </c>
      <c r="F206" s="6"/>
      <c r="G206" s="3">
        <f ca="1">IF(ATALI[[#This Row],[ID NOTA]]="","",INDEX([6]!NOTA[TGL_H],MATCH(ATALI[[#This Row],[ID NOTA]],[6]!NOTA[ID],0)))</f>
        <v>44771</v>
      </c>
      <c r="H206" s="3">
        <f ca="1">IF(ATALI[[#This Row],[ID NOTA]]="","",INDEX([6]!NOTA[TGL.NOTA],MATCH(ATALI[[#This Row],[ID NOTA]],[6]!NOTA[ID],0)))</f>
        <v>44767</v>
      </c>
      <c r="I206" s="4" t="str">
        <f ca="1">IF(ATALI[[#This Row],[ID NOTA]]="","",INDEX([6]!NOTA[NO.NOTA],MATCH(ATALI[[#This Row],[ID NOTA]],[6]!NOTA[ID],0)))</f>
        <v>SA220710906</v>
      </c>
      <c r="J206" s="4" t="s">
        <v>350</v>
      </c>
      <c r="K206" s="6">
        <f ca="1">IF(ATALI[[#This Row],[//]]="","",IF(INDEX([6]!NOTA[C],ATALI[[#This Row],[//]]-2)="","",INDEX([6]!NOTA[C],ATALI[[#This Row],[//]]-2)))</f>
        <v>4</v>
      </c>
      <c r="L206" s="6">
        <f ca="1">IF(ATALI[[#This Row],[//]]="","",INDEX([6]!NOTA[QTY],ATALI[[#This Row],[//]]-2))</f>
        <v>576</v>
      </c>
      <c r="M206" s="6" t="str">
        <f ca="1">IF(ATALI[[#This Row],[//]]="","",INDEX([6]!NOTA[STN],ATALI[[#This Row],[//]]-2))</f>
        <v>PCS</v>
      </c>
      <c r="N206" s="5">
        <f ca="1">IF(ATALI[[#This Row],[//]]="","",INDEX([6]!NOTA[HARGA SATUAN],ATALI[[#This Row],[//]]-2))</f>
        <v>9500</v>
      </c>
      <c r="O206" s="8">
        <f ca="1">IF(ATALI[[#This Row],[//]]="","",INDEX([6]!NOTA[DISC 1],ATALI[[#This Row],[//]]-2))</f>
        <v>0.125</v>
      </c>
      <c r="P206" s="8">
        <f ca="1">IF(ATALI[[#This Row],[//]]="","",INDEX([6]!NOTA[DISC 2],ATALI[[#This Row],[//]]-2))</f>
        <v>0.05</v>
      </c>
      <c r="Q206" s="5">
        <f ca="1">IF(ATALI[[#This Row],[//]]="","",INDEX([6]!NOTA[TOTAL],ATALI[[#This Row],[//]]-2))</f>
        <v>4548600</v>
      </c>
      <c r="R2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Row],[//]]="","",INDEX([6]!NOTA[NAMA BARANG],ATALI[[#This Row],[//]]-2))</f>
        <v>SCISSOR SC-848 JK</v>
      </c>
      <c r="V206" s="4" t="str">
        <f ca="1">LOWER(SUBSTITUTE(SUBSTITUTE(SUBSTITUTE(SUBSTITUTE(SUBSTITUTE(SUBSTITUTE(SUBSTITUTE(ATALI[[#This Row],[N.B.nota]]," ",""),"-",""),"(",""),")",""),".",""),",",""),"/",""))</f>
        <v>scissorsc848jk</v>
      </c>
      <c r="W206" s="4" t="s">
        <v>137</v>
      </c>
      <c r="X206" s="4" t="str">
        <f ca="1">IF(ATALI[[#This Row],[N.B.nota]]="","",ADDRESS(ROW(ATALI[QB]),COLUMN(ATALI[QB]))&amp;":"&amp;ADDRESS(ROW(),COLUMN(ATALI[QB])))</f>
        <v>$D$3:$D$206</v>
      </c>
      <c r="Y206" s="14" t="str">
        <f ca="1">IF(ATALI[[#This Row],[//]]="","",HYPERLINK("[../DB.xlsx]DB!e"&amp;MATCH(ATALI[[#This Row],[concat]],[4]!db[NB NOTA_C],0)+1,"&gt;"))</f>
        <v>&gt;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NOTA]]="","",HYPERLINK("[NOTA_.xlsx]NOTA!e"&amp;INDEX([6]!PAJAK[//],MATCH(ATALI[[#This Row],[ID NOTA]],[6]!PAJAK[ID],0)),"&gt;")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882</v>
      </c>
      <c r="F207" s="6"/>
      <c r="G207" s="3" t="str">
        <f>IF(ATALI[[#This Row],[ID NOTA]]="","",INDEX([6]!NOTA[TGL_H],MATCH(ATALI[[#This Row],[ID NOTA]],[6]!NOTA[ID],0)))</f>
        <v/>
      </c>
      <c r="H207" s="3" t="str">
        <f>IF(ATALI[[#This Row],[ID NOTA]]="","",INDEX([6]!NOTA[TGL.NOTA],MATCH(ATALI[[#This Row],[ID NOTA]],[6]!NOTA[ID],0)))</f>
        <v/>
      </c>
      <c r="I207" s="4" t="str">
        <f>IF(ATALI[[#This Row],[ID NOTA]]="","",INDEX([6]!NOTA[NO.NOTA],MATCH(ATALI[[#This Row],[ID NOTA]],[6]!NOTA[ID],0)))</f>
        <v/>
      </c>
      <c r="J207" s="4" t="s">
        <v>257</v>
      </c>
      <c r="K207" s="6">
        <f ca="1">IF(ATALI[[#This Row],[//]]="","",IF(INDEX([6]!NOTA[C],ATALI[[#This Row],[//]]-2)="","",INDEX([6]!NOTA[C],ATALI[[#This Row],[//]]-2)))</f>
        <v>2</v>
      </c>
      <c r="L207" s="6">
        <f ca="1">IF(ATALI[[#This Row],[//]]="","",INDEX([6]!NOTA[QTY],ATALI[[#This Row],[//]]-2))</f>
        <v>288</v>
      </c>
      <c r="M207" s="6" t="str">
        <f ca="1">IF(ATALI[[#This Row],[//]]="","",INDEX([6]!NOTA[STN],ATALI[[#This Row],[//]]-2))</f>
        <v>PCS</v>
      </c>
      <c r="N207" s="5">
        <f ca="1">IF(ATALI[[#This Row],[//]]="","",INDEX([6]!NOTA[HARGA SATUAN],ATALI[[#This Row],[//]]-2))</f>
        <v>6300</v>
      </c>
      <c r="O207" s="8">
        <f ca="1">IF(ATALI[[#This Row],[//]]="","",INDEX([6]!NOTA[DISC 1],ATALI[[#This Row],[//]]-2))</f>
        <v>0.125</v>
      </c>
      <c r="P207" s="8">
        <f ca="1">IF(ATALI[[#This Row],[//]]="","",INDEX([6]!NOTA[DISC 2],ATALI[[#This Row],[//]]-2))</f>
        <v>0.05</v>
      </c>
      <c r="Q207" s="5">
        <f ca="1">IF(ATALI[[#This Row],[//]]="","",INDEX([6]!NOTA[TOTAL],ATALI[[#This Row],[//]]-2))</f>
        <v>1508220</v>
      </c>
      <c r="R2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Row],[//]]="","",INDEX([6]!NOTA[NAMA BARANG],ATALI[[#This Row],[//]]-2))</f>
        <v>SCISSOR SC-838 JK</v>
      </c>
      <c r="V207" s="4" t="str">
        <f ca="1">LOWER(SUBSTITUTE(SUBSTITUTE(SUBSTITUTE(SUBSTITUTE(SUBSTITUTE(SUBSTITUTE(SUBSTITUTE(ATALI[[#This Row],[N.B.nota]]," ",""),"-",""),"(",""),")",""),".",""),",",""),"/",""))</f>
        <v>scissorsc838jk</v>
      </c>
      <c r="W207" s="4" t="s">
        <v>137</v>
      </c>
      <c r="X207" s="4" t="str">
        <f ca="1">IF(ATALI[[#This Row],[N.B.nota]]="","",ADDRESS(ROW(ATALI[QB]),COLUMN(ATALI[QB]))&amp;":"&amp;ADDRESS(ROW(),COLUMN(ATALI[QB])))</f>
        <v>$D$3:$D$207</v>
      </c>
      <c r="Y207" s="14" t="str">
        <f ca="1">IF(ATALI[[#This Row],[//]]="","",HYPERLINK("[../DB.xlsx]DB!e"&amp;MATCH(ATALI[[#This Row],[concat]],[4]!db[NB NOTA_C],0)+1,"&gt;"))</f>
        <v>&gt;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NOTA]]="","",HYPERLINK("[NOTA_.xlsx]NOTA!e"&amp;INDEX([6]!PAJAK[//],MATCH(ATALI[[#This Row],[ID NOTA]],[6]!PAJAK[ID],0)),"&gt;")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883</v>
      </c>
      <c r="F208" s="6"/>
      <c r="G208" s="3" t="str">
        <f>IF(ATALI[[#This Row],[ID NOTA]]="","",INDEX([6]!NOTA[TGL_H],MATCH(ATALI[[#This Row],[ID NOTA]],[6]!NOTA[ID],0)))</f>
        <v/>
      </c>
      <c r="H208" s="3" t="str">
        <f>IF(ATALI[[#This Row],[ID NOTA]]="","",INDEX([6]!NOTA[TGL.NOTA],MATCH(ATALI[[#This Row],[ID NOTA]],[6]!NOTA[ID],0)))</f>
        <v/>
      </c>
      <c r="I208" s="4" t="str">
        <f>IF(ATALI[[#This Row],[ID NOTA]]="","",INDEX([6]!NOTA[NO.NOTA],MATCH(ATALI[[#This Row],[ID NOTA]],[6]!NOTA[ID],0)))</f>
        <v/>
      </c>
      <c r="J208" s="4" t="s">
        <v>256</v>
      </c>
      <c r="K208" s="6">
        <f ca="1">IF(ATALI[[#This Row],[//]]="","",IF(INDEX([6]!NOTA[C],ATALI[[#This Row],[//]]-2)="","",INDEX([6]!NOTA[C],ATALI[[#This Row],[//]]-2)))</f>
        <v>2</v>
      </c>
      <c r="L208" s="6">
        <f ca="1">IF(ATALI[[#This Row],[//]]="","",INDEX([6]!NOTA[QTY],ATALI[[#This Row],[//]]-2))</f>
        <v>288</v>
      </c>
      <c r="M208" s="6" t="str">
        <f ca="1">IF(ATALI[[#This Row],[//]]="","",INDEX([6]!NOTA[STN],ATALI[[#This Row],[//]]-2))</f>
        <v>PCS</v>
      </c>
      <c r="N208" s="5">
        <f ca="1">IF(ATALI[[#This Row],[//]]="","",INDEX([6]!NOTA[HARGA SATUAN],ATALI[[#This Row],[//]]-2))</f>
        <v>4100</v>
      </c>
      <c r="O208" s="8">
        <f ca="1">IF(ATALI[[#This Row],[//]]="","",INDEX([6]!NOTA[DISC 1],ATALI[[#This Row],[//]]-2))</f>
        <v>0.125</v>
      </c>
      <c r="P208" s="8">
        <f ca="1">IF(ATALI[[#This Row],[//]]="","",INDEX([6]!NOTA[DISC 2],ATALI[[#This Row],[//]]-2))</f>
        <v>0.05</v>
      </c>
      <c r="Q208" s="5">
        <f ca="1">IF(ATALI[[#This Row],[//]]="","",INDEX([6]!NOTA[TOTAL],ATALI[[#This Row],[//]]-2))</f>
        <v>981540</v>
      </c>
      <c r="R2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Row],[//]]="","",INDEX([6]!NOTA[NAMA BARANG],ATALI[[#This Row],[//]]-2))</f>
        <v>SCISSOR SC-828 JK</v>
      </c>
      <c r="V208" s="4" t="str">
        <f ca="1">LOWER(SUBSTITUTE(SUBSTITUTE(SUBSTITUTE(SUBSTITUTE(SUBSTITUTE(SUBSTITUTE(SUBSTITUTE(ATALI[[#This Row],[N.B.nota]]," ",""),"-",""),"(",""),")",""),".",""),",",""),"/",""))</f>
        <v>scissorsc828jk</v>
      </c>
      <c r="W208" s="4" t="s">
        <v>137</v>
      </c>
      <c r="X208" s="4" t="str">
        <f ca="1">IF(ATALI[[#This Row],[N.B.nota]]="","",ADDRESS(ROW(ATALI[QB]),COLUMN(ATALI[QB]))&amp;":"&amp;ADDRESS(ROW(),COLUMN(ATALI[QB])))</f>
        <v>$D$3:$D$208</v>
      </c>
      <c r="Y208" s="14" t="str">
        <f ca="1">IF(ATALI[[#This Row],[//]]="","",HYPERLINK("[../DB.xlsx]DB!e"&amp;MATCH(ATALI[[#This Row],[concat]],[4]!db[NB NOTA_C],0)+1,"&gt;"))</f>
        <v>&gt;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NOTA]]="","",HYPERLINK("[NOTA_.xlsx]NOTA!e"&amp;INDEX([6]!PAJAK[//],MATCH(ATALI[[#This Row],[ID NOTA]],[6]!PAJAK[ID],0)),"&gt;")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884</v>
      </c>
      <c r="F209" s="6"/>
      <c r="G209" s="3" t="str">
        <f>IF(ATALI[[#This Row],[ID NOTA]]="","",INDEX([6]!NOTA[TGL_H],MATCH(ATALI[[#This Row],[ID NOTA]],[6]!NOTA[ID],0)))</f>
        <v/>
      </c>
      <c r="H209" s="3" t="str">
        <f>IF(ATALI[[#This Row],[ID NOTA]]="","",INDEX([6]!NOTA[TGL.NOTA],MATCH(ATALI[[#This Row],[ID NOTA]],[6]!NOTA[ID],0)))</f>
        <v/>
      </c>
      <c r="I209" s="4" t="str">
        <f>IF(ATALI[[#This Row],[ID NOTA]]="","",INDEX([6]!NOTA[NO.NOTA],MATCH(ATALI[[#This Row],[ID NOTA]],[6]!NOTA[ID],0)))</f>
        <v/>
      </c>
      <c r="J209" s="4" t="s">
        <v>351</v>
      </c>
      <c r="K209" s="6">
        <f ca="1">IF(ATALI[[#This Row],[//]]="","",IF(INDEX([6]!NOTA[C],ATALI[[#This Row],[//]]-2)="","",INDEX([6]!NOTA[C],ATALI[[#This Row],[//]]-2)))</f>
        <v>1</v>
      </c>
      <c r="L209" s="6">
        <f ca="1">IF(ATALI[[#This Row],[//]]="","",INDEX([6]!NOTA[QTY],ATALI[[#This Row],[//]]-2))</f>
        <v>864</v>
      </c>
      <c r="M209" s="6" t="str">
        <f ca="1">IF(ATALI[[#This Row],[//]]="","",INDEX([6]!NOTA[STN],ATALI[[#This Row],[//]]-2))</f>
        <v>PCS</v>
      </c>
      <c r="N209" s="5">
        <f ca="1">IF(ATALI[[#This Row],[//]]="","",INDEX([6]!NOTA[HARGA SATUAN],ATALI[[#This Row],[//]]-2))</f>
        <v>2300</v>
      </c>
      <c r="O209" s="8">
        <f ca="1">IF(ATALI[[#This Row],[//]]="","",INDEX([6]!NOTA[DISC 1],ATALI[[#This Row],[//]]-2))</f>
        <v>0.125</v>
      </c>
      <c r="P209" s="8">
        <f ca="1">IF(ATALI[[#This Row],[//]]="","",INDEX([6]!NOTA[DISC 2],ATALI[[#This Row],[//]]-2))</f>
        <v>0.05</v>
      </c>
      <c r="Q209" s="5">
        <f ca="1">IF(ATALI[[#This Row],[//]]="","",INDEX([6]!NOTA[TOTAL],ATALI[[#This Row],[//]]-2))</f>
        <v>1651860</v>
      </c>
      <c r="R2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Row],[//]]="","",INDEX([6]!NOTA[NAMA BARANG],ATALI[[#This Row],[//]]-2))</f>
        <v>GLUE STICK GS-103 (BATIK) JK</v>
      </c>
      <c r="V209" s="4" t="str">
        <f ca="1">LOWER(SUBSTITUTE(SUBSTITUTE(SUBSTITUTE(SUBSTITUTE(SUBSTITUTE(SUBSTITUTE(SUBSTITUTE(ATALI[[#This Row],[N.B.nota]]," ",""),"-",""),"(",""),")",""),".",""),",",""),"/",""))</f>
        <v>gluestickgs103batikjk</v>
      </c>
      <c r="W209" s="4" t="s">
        <v>137</v>
      </c>
      <c r="X209" s="4" t="str">
        <f ca="1">IF(ATALI[[#This Row],[N.B.nota]]="","",ADDRESS(ROW(ATALI[QB]),COLUMN(ATALI[QB]))&amp;":"&amp;ADDRESS(ROW(),COLUMN(ATALI[QB])))</f>
        <v>$D$3:$D$209</v>
      </c>
      <c r="Y209" s="14" t="str">
        <f ca="1">IF(ATALI[[#This Row],[//]]="","",HYPERLINK("[../DB.xlsx]DB!e"&amp;MATCH(ATALI[[#This Row],[concat]],[4]!db[NB NOTA_C],0)+1,"&gt;"))</f>
        <v>&gt;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NOTA]]="","",HYPERLINK("[NOTA_.xlsx]NOTA!e"&amp;INDEX([6]!PAJAK[//],MATCH(ATALI[[#This Row],[ID NOTA]],[6]!PAJAK[ID],0)),"&gt;")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885</v>
      </c>
      <c r="F210" s="6"/>
      <c r="G210" s="3" t="str">
        <f>IF(ATALI[[#This Row],[ID NOTA]]="","",INDEX([6]!NOTA[TGL_H],MATCH(ATALI[[#This Row],[ID NOTA]],[6]!NOTA[ID],0)))</f>
        <v/>
      </c>
      <c r="H210" s="3" t="str">
        <f>IF(ATALI[[#This Row],[ID NOTA]]="","",INDEX([6]!NOTA[TGL.NOTA],MATCH(ATALI[[#This Row],[ID NOTA]],[6]!NOTA[ID],0)))</f>
        <v/>
      </c>
      <c r="I210" s="4" t="str">
        <f>IF(ATALI[[#This Row],[ID NOTA]]="","",INDEX([6]!NOTA[NO.NOTA],MATCH(ATALI[[#This Row],[ID NOTA]],[6]!NOTA[ID],0)))</f>
        <v/>
      </c>
      <c r="J210" s="4" t="s">
        <v>352</v>
      </c>
      <c r="K210" s="6">
        <f ca="1">IF(ATALI[[#This Row],[//]]="","",IF(INDEX([6]!NOTA[C],ATALI[[#This Row],[//]]-2)="","",INDEX([6]!NOTA[C],ATALI[[#This Row],[//]]-2)))</f>
        <v>1</v>
      </c>
      <c r="L210" s="6">
        <f ca="1">IF(ATALI[[#This Row],[//]]="","",INDEX([6]!NOTA[QTY],ATALI[[#This Row],[//]]-2))</f>
        <v>864</v>
      </c>
      <c r="M210" s="6" t="str">
        <f ca="1">IF(ATALI[[#This Row],[//]]="","",INDEX([6]!NOTA[STN],ATALI[[#This Row],[//]]-2))</f>
        <v>PCS</v>
      </c>
      <c r="N210" s="5">
        <f ca="1">IF(ATALI[[#This Row],[//]]="","",INDEX([6]!NOTA[HARGA SATUAN],ATALI[[#This Row],[//]]-2))</f>
        <v>2450</v>
      </c>
      <c r="O210" s="8">
        <f ca="1">IF(ATALI[[#This Row],[//]]="","",INDEX([6]!NOTA[DISC 1],ATALI[[#This Row],[//]]-2))</f>
        <v>0.125</v>
      </c>
      <c r="P210" s="8">
        <f ca="1">IF(ATALI[[#This Row],[//]]="","",INDEX([6]!NOTA[DISC 2],ATALI[[#This Row],[//]]-2))</f>
        <v>0.05</v>
      </c>
      <c r="Q210" s="5">
        <f ca="1">IF(ATALI[[#This Row],[//]]="","",INDEX([6]!NOTA[TOTAL],ATALI[[#This Row],[//]]-2))</f>
        <v>1759590</v>
      </c>
      <c r="R2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4" t="str">
        <f ca="1">IF(ATALI[[#This Row],[//]]="","",INDEX([6]!NOTA[NAMA BARANG],ATALI[[#This Row],[//]]-2))</f>
        <v>GLUE STICK GS-104 (ANIMAL KINGDOM) JK</v>
      </c>
      <c r="V210" s="4" t="str">
        <f ca="1">LOWER(SUBSTITUTE(SUBSTITUTE(SUBSTITUTE(SUBSTITUTE(SUBSTITUTE(SUBSTITUTE(SUBSTITUTE(ATALI[[#This Row],[N.B.nota]]," ",""),"-",""),"(",""),")",""),".",""),",",""),"/",""))</f>
        <v>gluestickgs104animalkingdomjk</v>
      </c>
      <c r="W210" s="4" t="s">
        <v>137</v>
      </c>
      <c r="X210" s="4" t="str">
        <f ca="1">IF(ATALI[[#This Row],[N.B.nota]]="","",ADDRESS(ROW(ATALI[QB]),COLUMN(ATALI[QB]))&amp;":"&amp;ADDRESS(ROW(),COLUMN(ATALI[QB])))</f>
        <v>$D$3:$D$210</v>
      </c>
      <c r="Y210" s="14" t="str">
        <f ca="1">IF(ATALI[[#This Row],[//]]="","",HYPERLINK("[../DB.xlsx]DB!e"&amp;MATCH(ATALI[[#This Row],[concat]],[4]!db[NB NOTA_C],0)+1,"&gt;"))</f>
        <v>&gt;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NOTA]]="","",HYPERLINK("[NOTA_.xlsx]NOTA!e"&amp;INDEX([6]!PAJAK[//],MATCH(ATALI[[#This Row],[ID NOTA]],[6]!PAJAK[ID],0)),"&gt;") )</f>
        <v/>
      </c>
      <c r="D211" s="6" t="str">
        <f>IF(ATALI[[#This Row],[ID NOTA]]="","",INDEX(Table1[QB],MATCH(ATALI[[#This Row],[ID NOTA]],Table1[ID],0)))</f>
        <v/>
      </c>
      <c r="E2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886</v>
      </c>
      <c r="F211" s="6"/>
      <c r="G211" s="3" t="str">
        <f>IF(ATALI[[#This Row],[ID NOTA]]="","",INDEX([6]!NOTA[TGL_H],MATCH(ATALI[[#This Row],[ID NOTA]],[6]!NOTA[ID],0)))</f>
        <v/>
      </c>
      <c r="H211" s="3" t="str">
        <f>IF(ATALI[[#This Row],[ID NOTA]]="","",INDEX([6]!NOTA[TGL.NOTA],MATCH(ATALI[[#This Row],[ID NOTA]],[6]!NOTA[ID],0)))</f>
        <v/>
      </c>
      <c r="I211" s="4" t="str">
        <f>IF(ATALI[[#This Row],[ID NOTA]]="","",INDEX([6]!NOTA[NO.NOTA],MATCH(ATALI[[#This Row],[ID NOTA]],[6]!NOTA[ID],0)))</f>
        <v/>
      </c>
      <c r="J211" s="4" t="s">
        <v>276</v>
      </c>
      <c r="K211" s="6">
        <f ca="1">IF(ATALI[[#This Row],[//]]="","",IF(INDEX([6]!NOTA[C],ATALI[[#This Row],[//]]-2)="","",INDEX([6]!NOTA[C],ATALI[[#This Row],[//]]-2)))</f>
        <v>1</v>
      </c>
      <c r="L211" s="6">
        <f ca="1">IF(ATALI[[#This Row],[//]]="","",INDEX([6]!NOTA[QTY],ATALI[[#This Row],[//]]-2))</f>
        <v>500</v>
      </c>
      <c r="M211" s="6" t="str">
        <f ca="1">IF(ATALI[[#This Row],[//]]="","",INDEX([6]!NOTA[STN],ATALI[[#This Row],[//]]-2))</f>
        <v>ROL</v>
      </c>
      <c r="N211" s="5">
        <f ca="1">IF(ATALI[[#This Row],[//]]="","",INDEX([6]!NOTA[HARGA SATUAN],ATALI[[#This Row],[//]]-2))</f>
        <v>4200</v>
      </c>
      <c r="O211" s="8">
        <f ca="1">IF(ATALI[[#This Row],[//]]="","",INDEX([6]!NOTA[DISC 1],ATALI[[#This Row],[//]]-2))</f>
        <v>0.125</v>
      </c>
      <c r="P211" s="8">
        <f ca="1">IF(ATALI[[#This Row],[//]]="","",INDEX([6]!NOTA[DISC 2],ATALI[[#This Row],[//]]-2))</f>
        <v>0.05</v>
      </c>
      <c r="Q211" s="5">
        <f ca="1">IF(ATALI[[#This Row],[//]]="","",INDEX([6]!NOTA[TOTAL],ATALI[[#This Row],[//]]-2))</f>
        <v>1745625</v>
      </c>
      <c r="R2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12195435</v>
      </c>
      <c r="T2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Row],[//]]="","",INDEX([6]!NOTA[NAMA BARANG],ATALI[[#This Row],[//]]-2))</f>
        <v>LABEL LB-P2CY (2 BARIS, YELLOW) JK</v>
      </c>
      <c r="V211" s="4" t="str">
        <f ca="1">LOWER(SUBSTITUTE(SUBSTITUTE(SUBSTITUTE(SUBSTITUTE(SUBSTITUTE(SUBSTITUTE(SUBSTITUTE(ATALI[[#This Row],[N.B.nota]]," ",""),"-",""),"(",""),")",""),".",""),",",""),"/",""))</f>
        <v>labellbp2cy2barisyellowjk</v>
      </c>
      <c r="W211" s="4" t="s">
        <v>137</v>
      </c>
      <c r="X211" s="4" t="str">
        <f ca="1">IF(ATALI[[#This Row],[N.B.nota]]="","",ADDRESS(ROW(ATALI[QB]),COLUMN(ATALI[QB]))&amp;":"&amp;ADDRESS(ROW(),COLUMN(ATALI[QB])))</f>
        <v>$D$3:$D$211</v>
      </c>
      <c r="Y211" s="14" t="str">
        <f ca="1">IF(ATALI[[#This Row],[//]]="","",HYPERLINK("[../DB.xlsx]DB!e"&amp;MATCH(ATALI[[#This Row],[concat]],[4]!db[NB NOTA_C],0)+1,"&gt;"))</f>
        <v>&gt;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NOTA]]="","",HYPERLINK("[NOTA_.xlsx]NOTA!e"&amp;INDEX([6]!PAJAK[//],MATCH(ATALI[[#This Row],[ID NOTA]],[6]!PAJAK[ID],0)),"&gt;") )</f>
        <v/>
      </c>
      <c r="D212" s="6" t="str">
        <f>IF(ATALI[[#This Row],[ID NOTA]]="","",INDEX(Table1[QB],MATCH(ATALI[[#This Row],[ID NOTA]],Table1[ID],0)))</f>
        <v/>
      </c>
      <c r="E2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2" s="6"/>
      <c r="G212" s="3" t="str">
        <f>IF(ATALI[[#This Row],[ID NOTA]]="","",INDEX([6]!NOTA[TGL_H],MATCH(ATALI[[#This Row],[ID NOTA]],[6]!NOTA[ID],0)))</f>
        <v/>
      </c>
      <c r="H212" s="3" t="str">
        <f>IF(ATALI[[#This Row],[ID NOTA]]="","",INDEX([6]!NOTA[TGL.NOTA],MATCH(ATALI[[#This Row],[ID NOTA]],[6]!NOTA[ID],0)))</f>
        <v/>
      </c>
      <c r="I212" s="4" t="str">
        <f>IF(ATALI[[#This Row],[ID NOTA]]="","",INDEX([6]!NOTA[NO.NOTA],MATCH(ATALI[[#This Row],[ID NOTA]],[6]!NOTA[ID],0)))</f>
        <v/>
      </c>
      <c r="J212" s="4" t="s">
        <v>136</v>
      </c>
      <c r="K212" s="6" t="str">
        <f ca="1">IF(ATALI[[#This Row],[//]]="","",IF(INDEX([6]!NOTA[C],ATALI[[#This Row],[//]]-2)="","",INDEX([6]!NOTA[C],ATALI[[#This Row],[//]]-2)))</f>
        <v/>
      </c>
      <c r="L212" s="6" t="str">
        <f ca="1">IF(ATALI[[#This Row],[//]]="","",INDEX([6]!NOTA[QTY],ATALI[[#This Row],[//]]-2))</f>
        <v/>
      </c>
      <c r="M212" s="6" t="str">
        <f ca="1">IF(ATALI[[#This Row],[//]]="","",INDEX([6]!NOTA[STN],ATALI[[#This Row],[//]]-2))</f>
        <v/>
      </c>
      <c r="N212" s="5" t="str">
        <f ca="1">IF(ATALI[[#This Row],[//]]="","",INDEX([6]!NOTA[HARGA SATUAN],ATALI[[#This Row],[//]]-2))</f>
        <v/>
      </c>
      <c r="O212" s="8" t="str">
        <f ca="1">IF(ATALI[[#This Row],[//]]="","",INDEX([6]!NOTA[DISC 1],ATALI[[#This Row],[//]]-2))</f>
        <v/>
      </c>
      <c r="P212" s="8" t="str">
        <f ca="1">IF(ATALI[[#This Row],[//]]="","",INDEX([6]!NOTA[DISC 2],ATALI[[#This Row],[//]]-2))</f>
        <v/>
      </c>
      <c r="Q212" s="5" t="str">
        <f ca="1">IF(ATALI[[#This Row],[//]]="","",INDEX([6]!NOTA[TOTAL],ATALI[[#This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Row],[//]]="","",INDEX([6]!NOTA[NAMA BARANG],ATALI[[#This Row],[//]]-2))</f>
        <v/>
      </c>
      <c r="V212" s="4" t="str">
        <f ca="1">LOWER(SUBSTITUTE(SUBSTITUTE(SUBSTITUTE(SUBSTITUTE(SUBSTITUTE(SUBSTITUTE(SUBSTITUTE(ATALI[[#This Row],[N.B.nota]]," ",""),"-",""),"(",""),")",""),".",""),",",""),"/",""))</f>
        <v/>
      </c>
      <c r="W212" s="4" t="s">
        <v>136</v>
      </c>
      <c r="X212" s="4" t="str">
        <f ca="1">IF(ATALI[[#This Row],[N.B.nota]]="","",ADDRESS(ROW(ATALI[QB]),COLUMN(ATALI[QB]))&amp;":"&amp;ADDRESS(ROW(),COLUMN(ATALI[QB])))</f>
        <v/>
      </c>
      <c r="Y212" s="14" t="str">
        <f ca="1">IF(ATALI[[#This Row],[//]]="","",HYPERLINK("[../DB.xlsx]DB!e"&amp;MATCH(ATALI[[#This Row],[concat]],[4]!db[NB NOTA_C],0)+1,"&gt;"))</f>
        <v/>
      </c>
    </row>
    <row r="213" spans="1:25" x14ac:dyDescent="0.25">
      <c r="A213" s="4" t="s">
        <v>127</v>
      </c>
      <c r="B213" s="6">
        <f ca="1">IF(ATALI[[#This Row],[N_ID]]="","",INDEX(Table1[ID],MATCH(ATALI[[#This Row],[N_ID]],Table1[N_ID],0)))</f>
        <v>174</v>
      </c>
      <c r="C213" s="6" t="str">
        <f ca="1">IF(ATALI[[#This Row],[ID NOTA]]="","",HYPERLINK("[NOTA_.xlsx]NOTA!e"&amp;INDEX([6]!PAJAK[//],MATCH(ATALI[[#This Row],[ID NOTA]],[6]!PAJAK[ID],0)),"&gt;") )</f>
        <v>&gt;</v>
      </c>
      <c r="D213" s="6">
        <f ca="1">IF(ATALI[[#This Row],[ID NOTA]]="","",INDEX(Table1[QB],MATCH(ATALI[[#This Row],[ID NOTA]],Table1[ID],0)))</f>
        <v>9</v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913</v>
      </c>
      <c r="F213" s="6"/>
      <c r="G213" s="3">
        <f ca="1">IF(ATALI[[#This Row],[ID NOTA]]="","",INDEX([6]!NOTA[TGL_H],MATCH(ATALI[[#This Row],[ID NOTA]],[6]!NOTA[ID],0)))</f>
        <v>44771</v>
      </c>
      <c r="H213" s="3">
        <f ca="1">IF(ATALI[[#This Row],[ID NOTA]]="","",INDEX([6]!NOTA[TGL.NOTA],MATCH(ATALI[[#This Row],[ID NOTA]],[6]!NOTA[ID],0)))</f>
        <v>44767</v>
      </c>
      <c r="I213" s="4" t="str">
        <f ca="1">IF(ATALI[[#This Row],[ID NOTA]]="","",INDEX([6]!NOTA[NO.NOTA],MATCH(ATALI[[#This Row],[ID NOTA]],[6]!NOTA[ID],0)))</f>
        <v>SA220710967</v>
      </c>
      <c r="J213" s="4" t="s">
        <v>256</v>
      </c>
      <c r="K213" s="6">
        <f ca="1">IF(ATALI[[#This Row],[//]]="","",IF(INDEX([6]!NOTA[C],ATALI[[#This Row],[//]]-2)="","",INDEX([6]!NOTA[C],ATALI[[#This Row],[//]]-2)))</f>
        <v>1</v>
      </c>
      <c r="L213" s="6">
        <f ca="1">IF(ATALI[[#This Row],[//]]="","",INDEX([6]!NOTA[QTY],ATALI[[#This Row],[//]]-2))</f>
        <v>144</v>
      </c>
      <c r="M213" s="6" t="str">
        <f ca="1">IF(ATALI[[#This Row],[//]]="","",INDEX([6]!NOTA[STN],ATALI[[#This Row],[//]]-2))</f>
        <v>PCS</v>
      </c>
      <c r="N213" s="5">
        <f ca="1">IF(ATALI[[#This Row],[//]]="","",INDEX([6]!NOTA[HARGA SATUAN],ATALI[[#This Row],[//]]-2))</f>
        <v>4100</v>
      </c>
      <c r="O213" s="8">
        <f ca="1">IF(ATALI[[#This Row],[//]]="","",INDEX([6]!NOTA[DISC 1],ATALI[[#This Row],[//]]-2))</f>
        <v>0.125</v>
      </c>
      <c r="P213" s="8">
        <f ca="1">IF(ATALI[[#This Row],[//]]="","",INDEX([6]!NOTA[DISC 2],ATALI[[#This Row],[//]]-2))</f>
        <v>0.05</v>
      </c>
      <c r="Q213" s="5">
        <f ca="1">IF(ATALI[[#This Row],[//]]="","",INDEX([6]!NOTA[TOTAL],ATALI[[#This Row],[//]]-2))</f>
        <v>490770</v>
      </c>
      <c r="R2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Row],[//]]="","",INDEX([6]!NOTA[NAMA BARANG],ATALI[[#This Row],[//]]-2))</f>
        <v>SCISSOR SC-828 JK</v>
      </c>
      <c r="V213" s="4" t="str">
        <f ca="1">LOWER(SUBSTITUTE(SUBSTITUTE(SUBSTITUTE(SUBSTITUTE(SUBSTITUTE(SUBSTITUTE(SUBSTITUTE(ATALI[[#This Row],[N.B.nota]]," ",""),"-",""),"(",""),")",""),".",""),",",""),"/",""))</f>
        <v>scissorsc828jk</v>
      </c>
      <c r="W213" s="4" t="s">
        <v>137</v>
      </c>
      <c r="X213" s="4" t="str">
        <f ca="1">IF(ATALI[[#This Row],[N.B.nota]]="","",ADDRESS(ROW(ATALI[QB]),COLUMN(ATALI[QB]))&amp;":"&amp;ADDRESS(ROW(),COLUMN(ATALI[QB])))</f>
        <v>$D$3:$D$213</v>
      </c>
      <c r="Y213" s="14" t="str">
        <f ca="1">IF(ATALI[[#This Row],[//]]="","",HYPERLINK("[../DB.xlsx]DB!e"&amp;MATCH(ATALI[[#This Row],[concat]],[4]!db[NB NOTA_C],0)+1,"&gt;"))</f>
        <v>&gt;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NOTA]]="","",HYPERLINK("[NOTA_.xlsx]NOTA!e"&amp;INDEX([6]!PAJAK[//],MATCH(ATALI[[#This Row],[ID NOTA]],[6]!PAJAK[ID],0)),"&gt;")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914</v>
      </c>
      <c r="F214" s="6"/>
      <c r="G214" s="3" t="str">
        <f>IF(ATALI[[#This Row],[ID NOTA]]="","",INDEX([6]!NOTA[TGL_H],MATCH(ATALI[[#This Row],[ID NOTA]],[6]!NOTA[ID],0)))</f>
        <v/>
      </c>
      <c r="H214" s="3" t="str">
        <f>IF(ATALI[[#This Row],[ID NOTA]]="","",INDEX([6]!NOTA[TGL.NOTA],MATCH(ATALI[[#This Row],[ID NOTA]],[6]!NOTA[ID],0)))</f>
        <v/>
      </c>
      <c r="I214" s="4" t="str">
        <f>IF(ATALI[[#This Row],[ID NOTA]]="","",INDEX([6]!NOTA[NO.NOTA],MATCH(ATALI[[#This Row],[ID NOTA]],[6]!NOTA[ID],0)))</f>
        <v/>
      </c>
      <c r="J214" s="4" t="s">
        <v>334</v>
      </c>
      <c r="K214" s="6">
        <f ca="1">IF(ATALI[[#This Row],[//]]="","",IF(INDEX([6]!NOTA[C],ATALI[[#This Row],[//]]-2)="","",INDEX([6]!NOTA[C],ATALI[[#This Row],[//]]-2)))</f>
        <v>1</v>
      </c>
      <c r="L214" s="6">
        <f ca="1">IF(ATALI[[#This Row],[//]]="","",INDEX([6]!NOTA[QTY],ATALI[[#This Row],[//]]-2))</f>
        <v>288</v>
      </c>
      <c r="M214" s="6" t="str">
        <f ca="1">IF(ATALI[[#This Row],[//]]="","",INDEX([6]!NOTA[STN],ATALI[[#This Row],[//]]-2))</f>
        <v>PCS</v>
      </c>
      <c r="N214" s="5">
        <f ca="1">IF(ATALI[[#This Row],[//]]="","",INDEX([6]!NOTA[HARGA SATUAN],ATALI[[#This Row],[//]]-2))</f>
        <v>4800</v>
      </c>
      <c r="O214" s="8">
        <f ca="1">IF(ATALI[[#This Row],[//]]="","",INDEX([6]!NOTA[DISC 1],ATALI[[#This Row],[//]]-2))</f>
        <v>0.125</v>
      </c>
      <c r="P214" s="8">
        <f ca="1">IF(ATALI[[#This Row],[//]]="","",INDEX([6]!NOTA[DISC 2],ATALI[[#This Row],[//]]-2))</f>
        <v>0.05</v>
      </c>
      <c r="Q214" s="5">
        <f ca="1">IF(ATALI[[#This Row],[//]]="","",INDEX([6]!NOTA[TOTAL],ATALI[[#This Row],[//]]-2))</f>
        <v>1149120</v>
      </c>
      <c r="R2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Row],[//]]="","",INDEX([6]!NOTA[NAMA BARANG],ATALI[[#This Row],[//]]-2))</f>
        <v>PENCIL CASE PC-0719GZ-34A/F (GOZZY) JK</v>
      </c>
      <c r="V214" s="4" t="str">
        <f ca="1">LOWER(SUBSTITUTE(SUBSTITUTE(SUBSTITUTE(SUBSTITUTE(SUBSTITUTE(SUBSTITUTE(SUBSTITUTE(ATALI[[#This Row],[N.B.nota]]," ",""),"-",""),"(",""),")",""),".",""),",",""),"/",""))</f>
        <v>pencilcasepc0719gz34afgozzyjk</v>
      </c>
      <c r="W214" s="4" t="s">
        <v>137</v>
      </c>
      <c r="X214" s="4" t="str">
        <f ca="1">IF(ATALI[[#This Row],[N.B.nota]]="","",ADDRESS(ROW(ATALI[QB]),COLUMN(ATALI[QB]))&amp;":"&amp;ADDRESS(ROW(),COLUMN(ATALI[QB])))</f>
        <v>$D$3:$D$214</v>
      </c>
      <c r="Y214" s="14" t="str">
        <f ca="1">IF(ATALI[[#This Row],[//]]="","",HYPERLINK("[../DB.xlsx]DB!e"&amp;MATCH(ATALI[[#This Row],[concat]],[4]!db[NB NOTA_C],0)+1,"&gt;"))</f>
        <v>&gt;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NOTA]]="","",HYPERLINK("[NOTA_.xlsx]NOTA!e"&amp;INDEX([6]!PAJAK[//],MATCH(ATALI[[#This Row],[ID NOTA]],[6]!PAJAK[ID],0)),"&gt;")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915</v>
      </c>
      <c r="F215" s="6"/>
      <c r="G215" s="3" t="str">
        <f>IF(ATALI[[#This Row],[ID NOTA]]="","",INDEX([6]!NOTA[TGL_H],MATCH(ATALI[[#This Row],[ID NOTA]],[6]!NOTA[ID],0)))</f>
        <v/>
      </c>
      <c r="H215" s="3" t="str">
        <f>IF(ATALI[[#This Row],[ID NOTA]]="","",INDEX([6]!NOTA[TGL.NOTA],MATCH(ATALI[[#This Row],[ID NOTA]],[6]!NOTA[ID],0)))</f>
        <v/>
      </c>
      <c r="I215" s="4" t="str">
        <f>IF(ATALI[[#This Row],[ID NOTA]]="","",INDEX([6]!NOTA[NO.NOTA],MATCH(ATALI[[#This Row],[ID NOTA]],[6]!NOTA[ID],0)))</f>
        <v/>
      </c>
      <c r="J215" s="4" t="s">
        <v>337</v>
      </c>
      <c r="K215" s="6">
        <f ca="1">IF(ATALI[[#This Row],[//]]="","",IF(INDEX([6]!NOTA[C],ATALI[[#This Row],[//]]-2)="","",INDEX([6]!NOTA[C],ATALI[[#This Row],[//]]-2)))</f>
        <v>1</v>
      </c>
      <c r="L215" s="6">
        <f ca="1">IF(ATALI[[#This Row],[//]]="","",INDEX([6]!NOTA[QTY],ATALI[[#This Row],[//]]-2))</f>
        <v>50</v>
      </c>
      <c r="M215" s="6" t="str">
        <f ca="1">IF(ATALI[[#This Row],[//]]="","",INDEX([6]!NOTA[STN],ATALI[[#This Row],[//]]-2))</f>
        <v>BOX</v>
      </c>
      <c r="N215" s="5">
        <f ca="1">IF(ATALI[[#This Row],[//]]="","",INDEX([6]!NOTA[HARGA SATUAN],ATALI[[#This Row],[//]]-2))</f>
        <v>34100</v>
      </c>
      <c r="O215" s="8">
        <f ca="1">IF(ATALI[[#This Row],[//]]="","",INDEX([6]!NOTA[DISC 1],ATALI[[#This Row],[//]]-2))</f>
        <v>0.125</v>
      </c>
      <c r="P215" s="8">
        <f ca="1">IF(ATALI[[#This Row],[//]]="","",INDEX([6]!NOTA[DISC 2],ATALI[[#This Row],[//]]-2))</f>
        <v>0.05</v>
      </c>
      <c r="Q215" s="5">
        <f ca="1">IF(ATALI[[#This Row],[//]]="","",INDEX([6]!NOTA[TOTAL],ATALI[[#This Row],[//]]-2))</f>
        <v>1417281.25</v>
      </c>
      <c r="R2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Row],[//]]="","",INDEX([6]!NOTA[NAMA BARANG],ATALI[[#This Row],[//]]-2))</f>
        <v>ERASER 526-B20 JK</v>
      </c>
      <c r="V215" s="4" t="str">
        <f ca="1">LOWER(SUBSTITUTE(SUBSTITUTE(SUBSTITUTE(SUBSTITUTE(SUBSTITUTE(SUBSTITUTE(SUBSTITUTE(ATALI[[#This Row],[N.B.nota]]," ",""),"-",""),"(",""),")",""),".",""),",",""),"/",""))</f>
        <v>eraser526b20jk</v>
      </c>
      <c r="W215" s="4" t="s">
        <v>137</v>
      </c>
      <c r="X215" s="4" t="str">
        <f ca="1">IF(ATALI[[#This Row],[N.B.nota]]="","",ADDRESS(ROW(ATALI[QB]),COLUMN(ATALI[QB]))&amp;":"&amp;ADDRESS(ROW(),COLUMN(ATALI[QB])))</f>
        <v>$D$3:$D$215</v>
      </c>
      <c r="Y215" s="14" t="str">
        <f ca="1">IF(ATALI[[#This Row],[//]]="","",HYPERLINK("[../DB.xlsx]DB!e"&amp;MATCH(ATALI[[#This Row],[concat]],[4]!db[NB NOTA_C],0)+1,"&gt;"))</f>
        <v>&gt;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NOTA]]="","",HYPERLINK("[NOTA_.xlsx]NOTA!e"&amp;INDEX([6]!PAJAK[//],MATCH(ATALI[[#This Row],[ID NOTA]],[6]!PAJAK[ID],0)),"&gt;")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916</v>
      </c>
      <c r="F216" s="6"/>
      <c r="G216" s="3" t="str">
        <f>IF(ATALI[[#This Row],[ID NOTA]]="","",INDEX([6]!NOTA[TGL_H],MATCH(ATALI[[#This Row],[ID NOTA]],[6]!NOTA[ID],0)))</f>
        <v/>
      </c>
      <c r="H216" s="3" t="str">
        <f>IF(ATALI[[#This Row],[ID NOTA]]="","",INDEX([6]!NOTA[TGL.NOTA],MATCH(ATALI[[#This Row],[ID NOTA]],[6]!NOTA[ID],0)))</f>
        <v/>
      </c>
      <c r="I216" s="4" t="str">
        <f>IF(ATALI[[#This Row],[ID NOTA]]="","",INDEX([6]!NOTA[NO.NOTA],MATCH(ATALI[[#This Row],[ID NOTA]],[6]!NOTA[ID],0)))</f>
        <v/>
      </c>
      <c r="J216" s="4" t="s">
        <v>336</v>
      </c>
      <c r="K216" s="6">
        <f ca="1">IF(ATALI[[#This Row],[//]]="","",IF(INDEX([6]!NOTA[C],ATALI[[#This Row],[//]]-2)="","",INDEX([6]!NOTA[C],ATALI[[#This Row],[//]]-2)))</f>
        <v>1</v>
      </c>
      <c r="L216" s="6">
        <f ca="1">IF(ATALI[[#This Row],[//]]="","",INDEX([6]!NOTA[QTY],ATALI[[#This Row],[//]]-2))</f>
        <v>50</v>
      </c>
      <c r="M216" s="6" t="str">
        <f ca="1">IF(ATALI[[#This Row],[//]]="","",INDEX([6]!NOTA[STN],ATALI[[#This Row],[//]]-2))</f>
        <v>BOX</v>
      </c>
      <c r="N216" s="5">
        <f ca="1">IF(ATALI[[#This Row],[//]]="","",INDEX([6]!NOTA[HARGA SATUAN],ATALI[[#This Row],[//]]-2))</f>
        <v>28300</v>
      </c>
      <c r="O216" s="8">
        <f ca="1">IF(ATALI[[#This Row],[//]]="","",INDEX([6]!NOTA[DISC 1],ATALI[[#This Row],[//]]-2))</f>
        <v>0.125</v>
      </c>
      <c r="P216" s="8">
        <f ca="1">IF(ATALI[[#This Row],[//]]="","",INDEX([6]!NOTA[DISC 2],ATALI[[#This Row],[//]]-2))</f>
        <v>0.05</v>
      </c>
      <c r="Q216" s="5">
        <f ca="1">IF(ATALI[[#This Row],[//]]="","",INDEX([6]!NOTA[TOTAL],ATALI[[#This Row],[//]]-2))</f>
        <v>1176218.75</v>
      </c>
      <c r="R2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Row],[//]]="","",INDEX([6]!NOTA[NAMA BARANG],ATALI[[#This Row],[//]]-2))</f>
        <v>ERASER 526-B40P JK</v>
      </c>
      <c r="V216" s="4" t="str">
        <f ca="1">LOWER(SUBSTITUTE(SUBSTITUTE(SUBSTITUTE(SUBSTITUTE(SUBSTITUTE(SUBSTITUTE(SUBSTITUTE(ATALI[[#This Row],[N.B.nota]]," ",""),"-",""),"(",""),")",""),".",""),",",""),"/",""))</f>
        <v>eraser526b40pjk</v>
      </c>
      <c r="W216" s="4" t="s">
        <v>137</v>
      </c>
      <c r="X216" s="4" t="str">
        <f ca="1">IF(ATALI[[#This Row],[N.B.nota]]="","",ADDRESS(ROW(ATALI[QB]),COLUMN(ATALI[QB]))&amp;":"&amp;ADDRESS(ROW(),COLUMN(ATALI[QB])))</f>
        <v>$D$3:$D$216</v>
      </c>
      <c r="Y216" s="14" t="str">
        <f ca="1">IF(ATALI[[#This Row],[//]]="","",HYPERLINK("[../DB.xlsx]DB!e"&amp;MATCH(ATALI[[#This Row],[concat]],[4]!db[NB NOTA_C],0)+1,"&gt;"))</f>
        <v>&gt;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NOTA]]="","",HYPERLINK("[NOTA_.xlsx]NOTA!e"&amp;INDEX([6]!PAJAK[//],MATCH(ATALI[[#This Row],[ID NOTA]],[6]!PAJAK[ID],0)),"&gt;") )</f>
        <v/>
      </c>
      <c r="D217" s="6" t="str">
        <f>IF(ATALI[[#This Row],[ID NOTA]]="","",INDEX(Table1[QB],MATCH(ATALI[[#This Row],[ID NOTA]],Table1[ID],0)))</f>
        <v/>
      </c>
      <c r="E2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917</v>
      </c>
      <c r="F217" s="6"/>
      <c r="G217" s="3" t="str">
        <f>IF(ATALI[[#This Row],[ID NOTA]]="","",INDEX([6]!NOTA[TGL_H],MATCH(ATALI[[#This Row],[ID NOTA]],[6]!NOTA[ID],0)))</f>
        <v/>
      </c>
      <c r="H217" s="3" t="str">
        <f>IF(ATALI[[#This Row],[ID NOTA]]="","",INDEX([6]!NOTA[TGL.NOTA],MATCH(ATALI[[#This Row],[ID NOTA]],[6]!NOTA[ID],0)))</f>
        <v/>
      </c>
      <c r="I217" s="4" t="str">
        <f>IF(ATALI[[#This Row],[ID NOTA]]="","",INDEX([6]!NOTA[NO.NOTA],MATCH(ATALI[[#This Row],[ID NOTA]],[6]!NOTA[ID],0)))</f>
        <v/>
      </c>
      <c r="J217" s="4" t="s">
        <v>353</v>
      </c>
      <c r="K217" s="6">
        <f ca="1">IF(ATALI[[#This Row],[//]]="","",IF(INDEX([6]!NOTA[C],ATALI[[#This Row],[//]]-2)="","",INDEX([6]!NOTA[C],ATALI[[#This Row],[//]]-2)))</f>
        <v>1</v>
      </c>
      <c r="L217" s="6">
        <f ca="1">IF(ATALI[[#This Row],[//]]="","",INDEX([6]!NOTA[QTY],ATALI[[#This Row],[//]]-2))</f>
        <v>50</v>
      </c>
      <c r="M217" s="6" t="str">
        <f ca="1">IF(ATALI[[#This Row],[//]]="","",INDEX([6]!NOTA[STN],ATALI[[#This Row],[//]]-2))</f>
        <v>BOX</v>
      </c>
      <c r="N217" s="5">
        <f ca="1">IF(ATALI[[#This Row],[//]]="","",INDEX([6]!NOTA[HARGA SATUAN],ATALI[[#This Row],[//]]-2))</f>
        <v>32000</v>
      </c>
      <c r="O217" s="8">
        <f ca="1">IF(ATALI[[#This Row],[//]]="","",INDEX([6]!NOTA[DISC 1],ATALI[[#This Row],[//]]-2))</f>
        <v>0.125</v>
      </c>
      <c r="P217" s="8">
        <f ca="1">IF(ATALI[[#This Row],[//]]="","",INDEX([6]!NOTA[DISC 2],ATALI[[#This Row],[//]]-2))</f>
        <v>0.05</v>
      </c>
      <c r="Q217" s="5">
        <f ca="1">IF(ATALI[[#This Row],[//]]="","",INDEX([6]!NOTA[TOTAL],ATALI[[#This Row],[//]]-2))</f>
        <v>1330000</v>
      </c>
      <c r="R2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Row],[//]]="","",INDEX([6]!NOTA[NAMA BARANG],ATALI[[#This Row],[//]]-2))</f>
        <v>ERASER ER-30W JK</v>
      </c>
      <c r="V217" s="4" t="str">
        <f ca="1">LOWER(SUBSTITUTE(SUBSTITUTE(SUBSTITUTE(SUBSTITUTE(SUBSTITUTE(SUBSTITUTE(SUBSTITUTE(ATALI[[#This Row],[N.B.nota]]," ",""),"-",""),"(",""),")",""),".",""),",",""),"/",""))</f>
        <v>eraserer30wjk</v>
      </c>
      <c r="W217" s="4" t="s">
        <v>137</v>
      </c>
      <c r="X217" s="4" t="str">
        <f ca="1">IF(ATALI[[#This Row],[N.B.nota]]="","",ADDRESS(ROW(ATALI[QB]),COLUMN(ATALI[QB]))&amp;":"&amp;ADDRESS(ROW(),COLUMN(ATALI[QB])))</f>
        <v>$D$3:$D$217</v>
      </c>
      <c r="Y217" s="14" t="str">
        <f ca="1">IF(ATALI[[#This Row],[//]]="","",HYPERLINK("[../DB.xlsx]DB!e"&amp;MATCH(ATALI[[#This Row],[concat]],[4]!db[NB NOTA_C],0)+1,"&gt;"))</f>
        <v>&gt;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NOTA]]="","",HYPERLINK("[NOTA_.xlsx]NOTA!e"&amp;INDEX([6]!PAJAK[//],MATCH(ATALI[[#This Row],[ID NOTA]],[6]!PAJAK[ID],0)),"&gt;") )</f>
        <v/>
      </c>
      <c r="D218" s="6" t="str">
        <f>IF(ATALI[[#This Row],[ID NOTA]]="","",INDEX(Table1[QB],MATCH(ATALI[[#This Row],[ID NOTA]],Table1[ID],0)))</f>
        <v/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918</v>
      </c>
      <c r="F218" s="6"/>
      <c r="G218" s="3" t="str">
        <f>IF(ATALI[[#This Row],[ID NOTA]]="","",INDEX([6]!NOTA[TGL_H],MATCH(ATALI[[#This Row],[ID NOTA]],[6]!NOTA[ID],0)))</f>
        <v/>
      </c>
      <c r="H218" s="3" t="str">
        <f>IF(ATALI[[#This Row],[ID NOTA]]="","",INDEX([6]!NOTA[TGL.NOTA],MATCH(ATALI[[#This Row],[ID NOTA]],[6]!NOTA[ID],0)))</f>
        <v/>
      </c>
      <c r="I218" s="4" t="str">
        <f>IF(ATALI[[#This Row],[ID NOTA]]="","",INDEX([6]!NOTA[NO.NOTA],MATCH(ATALI[[#This Row],[ID NOTA]],[6]!NOTA[ID],0)))</f>
        <v/>
      </c>
      <c r="J218" s="4" t="s">
        <v>354</v>
      </c>
      <c r="K218" s="6">
        <f ca="1">IF(ATALI[[#This Row],[//]]="","",IF(INDEX([6]!NOTA[C],ATALI[[#This Row],[//]]-2)="","",INDEX([6]!NOTA[C],ATALI[[#This Row],[//]]-2)))</f>
        <v>2</v>
      </c>
      <c r="L218" s="6">
        <f ca="1">IF(ATALI[[#This Row],[//]]="","",INDEX([6]!NOTA[QTY],ATALI[[#This Row],[//]]-2))</f>
        <v>80</v>
      </c>
      <c r="M218" s="6" t="str">
        <f ca="1">IF(ATALI[[#This Row],[//]]="","",INDEX([6]!NOTA[STN],ATALI[[#This Row],[//]]-2))</f>
        <v>DZ</v>
      </c>
      <c r="N218" s="5">
        <f ca="1">IF(ATALI[[#This Row],[//]]="","",INDEX([6]!NOTA[HARGA SATUAN],ATALI[[#This Row],[//]]-2))</f>
        <v>49200</v>
      </c>
      <c r="O218" s="8">
        <f ca="1">IF(ATALI[[#This Row],[//]]="","",INDEX([6]!NOTA[DISC 1],ATALI[[#This Row],[//]]-2))</f>
        <v>0.125</v>
      </c>
      <c r="P218" s="8">
        <f ca="1">IF(ATALI[[#This Row],[//]]="","",INDEX([6]!NOTA[DISC 2],ATALI[[#This Row],[//]]-2))</f>
        <v>0.05</v>
      </c>
      <c r="Q218" s="5">
        <f ca="1">IF(ATALI[[#This Row],[//]]="","",INDEX([6]!NOTA[TOTAL],ATALI[[#This Row],[//]]-2))</f>
        <v>3271800</v>
      </c>
      <c r="R2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Row],[//]]="","",INDEX([6]!NOTA[NAMA BARANG],ATALI[[#This Row],[//]]-2))</f>
        <v>CUTTER BLADE L-150M (MH) JK</v>
      </c>
      <c r="V218" s="4" t="str">
        <f ca="1">LOWER(SUBSTITUTE(SUBSTITUTE(SUBSTITUTE(SUBSTITUTE(SUBSTITUTE(SUBSTITUTE(SUBSTITUTE(ATALI[[#This Row],[N.B.nota]]," ",""),"-",""),"(",""),")",""),".",""),",",""),"/",""))</f>
        <v>cutterbladel150mmhjk</v>
      </c>
      <c r="W218" s="4" t="s">
        <v>137</v>
      </c>
      <c r="X218" s="4" t="str">
        <f ca="1">IF(ATALI[[#This Row],[N.B.nota]]="","",ADDRESS(ROW(ATALI[QB]),COLUMN(ATALI[QB]))&amp;":"&amp;ADDRESS(ROW(),COLUMN(ATALI[QB])))</f>
        <v>$D$3:$D$218</v>
      </c>
      <c r="Y218" s="14" t="str">
        <f ca="1">IF(ATALI[[#This Row],[//]]="","",HYPERLINK("[../DB.xlsx]DB!e"&amp;MATCH(ATALI[[#This Row],[concat]],[4]!db[NB NOTA_C],0)+1,"&gt;"))</f>
        <v>&gt;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NOTA]]="","",HYPERLINK("[NOTA_.xlsx]NOTA!e"&amp;INDEX([6]!PAJAK[//],MATCH(ATALI[[#This Row],[ID NOTA]],[6]!PAJAK[ID],0)),"&gt;")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919</v>
      </c>
      <c r="F219" s="6"/>
      <c r="G219" s="3" t="str">
        <f>IF(ATALI[[#This Row],[ID NOTA]]="","",INDEX([6]!NOTA[TGL_H],MATCH(ATALI[[#This Row],[ID NOTA]],[6]!NOTA[ID],0)))</f>
        <v/>
      </c>
      <c r="H219" s="3" t="str">
        <f>IF(ATALI[[#This Row],[ID NOTA]]="","",INDEX([6]!NOTA[TGL.NOTA],MATCH(ATALI[[#This Row],[ID NOTA]],[6]!NOTA[ID],0)))</f>
        <v/>
      </c>
      <c r="I219" s="4" t="str">
        <f>IF(ATALI[[#This Row],[ID NOTA]]="","",INDEX([6]!NOTA[NO.NOTA],MATCH(ATALI[[#This Row],[ID NOTA]],[6]!NOTA[ID],0)))</f>
        <v/>
      </c>
      <c r="J219" s="4" t="s">
        <v>325</v>
      </c>
      <c r="K219" s="6">
        <f ca="1">IF(ATALI[[#This Row],[//]]="","",IF(INDEX([6]!NOTA[C],ATALI[[#This Row],[//]]-2)="","",INDEX([6]!NOTA[C],ATALI[[#This Row],[//]]-2)))</f>
        <v>1</v>
      </c>
      <c r="L219" s="6">
        <f ca="1">IF(ATALI[[#This Row],[//]]="","",INDEX([6]!NOTA[QTY],ATALI[[#This Row],[//]]-2))</f>
        <v>288</v>
      </c>
      <c r="M219" s="6" t="str">
        <f ca="1">IF(ATALI[[#This Row],[//]]="","",INDEX([6]!NOTA[STN],ATALI[[#This Row],[//]]-2))</f>
        <v>SET</v>
      </c>
      <c r="N219" s="5">
        <f ca="1">IF(ATALI[[#This Row],[//]]="","",INDEX([6]!NOTA[HARGA SATUAN],ATALI[[#This Row],[//]]-2))</f>
        <v>6700</v>
      </c>
      <c r="O219" s="8">
        <f ca="1">IF(ATALI[[#This Row],[//]]="","",INDEX([6]!NOTA[DISC 1],ATALI[[#This Row],[//]]-2))</f>
        <v>0.125</v>
      </c>
      <c r="P219" s="8">
        <f ca="1">IF(ATALI[[#This Row],[//]]="","",INDEX([6]!NOTA[DISC 2],ATALI[[#This Row],[//]]-2))</f>
        <v>0.05</v>
      </c>
      <c r="Q219" s="5">
        <f ca="1">IF(ATALI[[#This Row],[//]]="","",INDEX([6]!NOTA[TOTAL],ATALI[[#This Row],[//]]-2))</f>
        <v>1603980</v>
      </c>
      <c r="R2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4" t="str">
        <f ca="1">IF(ATALI[[#This Row],[//]]="","",INDEX([6]!NOTA[NAMA BARANG],ATALI[[#This Row],[//]]-2))</f>
        <v>COLOR PENCIL CP-S12 JK</v>
      </c>
      <c r="V219" s="4" t="str">
        <f ca="1">LOWER(SUBSTITUTE(SUBSTITUTE(SUBSTITUTE(SUBSTITUTE(SUBSTITUTE(SUBSTITUTE(SUBSTITUTE(ATALI[[#This Row],[N.B.nota]]," ",""),"-",""),"(",""),")",""),".",""),",",""),"/",""))</f>
        <v>colorpencilcps12jk</v>
      </c>
      <c r="W219" s="4" t="s">
        <v>137</v>
      </c>
      <c r="X219" s="4" t="str">
        <f ca="1">IF(ATALI[[#This Row],[N.B.nota]]="","",ADDRESS(ROW(ATALI[QB]),COLUMN(ATALI[QB]))&amp;":"&amp;ADDRESS(ROW(),COLUMN(ATALI[QB])))</f>
        <v>$D$3:$D$219</v>
      </c>
      <c r="Y219" s="14" t="str">
        <f ca="1">IF(ATALI[[#This Row],[//]]="","",HYPERLINK("[../DB.xlsx]DB!e"&amp;MATCH(ATALI[[#This Row],[concat]],[4]!db[NB NOTA_C],0)+1,"&gt;"))</f>
        <v>&gt;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NOTA]]="","",HYPERLINK("[NOTA_.xlsx]NOTA!e"&amp;INDEX([6]!PAJAK[//],MATCH(ATALI[[#This Row],[ID NOTA]],[6]!PAJAK[ID],0)),"&gt;")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920</v>
      </c>
      <c r="F220" s="6"/>
      <c r="G220" s="3" t="str">
        <f>IF(ATALI[[#This Row],[ID NOTA]]="","",INDEX([6]!NOTA[TGL_H],MATCH(ATALI[[#This Row],[ID NOTA]],[6]!NOTA[ID],0)))</f>
        <v/>
      </c>
      <c r="H220" s="3" t="str">
        <f>IF(ATALI[[#This Row],[ID NOTA]]="","",INDEX([6]!NOTA[TGL.NOTA],MATCH(ATALI[[#This Row],[ID NOTA]],[6]!NOTA[ID],0)))</f>
        <v/>
      </c>
      <c r="I220" s="4" t="str">
        <f>IF(ATALI[[#This Row],[ID NOTA]]="","",INDEX([6]!NOTA[NO.NOTA],MATCH(ATALI[[#This Row],[ID NOTA]],[6]!NOTA[ID],0)))</f>
        <v/>
      </c>
      <c r="J220" s="4" t="s">
        <v>265</v>
      </c>
      <c r="K220" s="6">
        <f ca="1">IF(ATALI[[#This Row],[//]]="","",IF(INDEX([6]!NOTA[C],ATALI[[#This Row],[//]]-2)="","",INDEX([6]!NOTA[C],ATALI[[#This Row],[//]]-2)))</f>
        <v>1</v>
      </c>
      <c r="L220" s="6">
        <f ca="1">IF(ATALI[[#This Row],[//]]="","",INDEX([6]!NOTA[QTY],ATALI[[#This Row],[//]]-2))</f>
        <v>768</v>
      </c>
      <c r="M220" s="6" t="str">
        <f ca="1">IF(ATALI[[#This Row],[//]]="","",INDEX([6]!NOTA[STN],ATALI[[#This Row],[//]]-2))</f>
        <v>PCS</v>
      </c>
      <c r="N220" s="5">
        <f ca="1">IF(ATALI[[#This Row],[//]]="","",INDEX([6]!NOTA[HARGA SATUAN],ATALI[[#This Row],[//]]-2))</f>
        <v>2200</v>
      </c>
      <c r="O220" s="8">
        <f ca="1">IF(ATALI[[#This Row],[//]]="","",INDEX([6]!NOTA[DISC 1],ATALI[[#This Row],[//]]-2))</f>
        <v>0.125</v>
      </c>
      <c r="P220" s="8">
        <f ca="1">IF(ATALI[[#This Row],[//]]="","",INDEX([6]!NOTA[DISC 2],ATALI[[#This Row],[//]]-2))</f>
        <v>0.05</v>
      </c>
      <c r="Q220" s="5">
        <f ca="1">IF(ATALI[[#This Row],[//]]="","",INDEX([6]!NOTA[TOTAL],ATALI[[#This Row],[//]]-2))</f>
        <v>1404480</v>
      </c>
      <c r="R2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Row],[//]]="","",INDEX([6]!NOTA[NAMA BARANG],ATALI[[#This Row],[//]]-2))</f>
        <v>GLUE STICK GS-09, 8 GRAM JK</v>
      </c>
      <c r="V220" s="4" t="str">
        <f ca="1">LOWER(SUBSTITUTE(SUBSTITUTE(SUBSTITUTE(SUBSTITUTE(SUBSTITUTE(SUBSTITUTE(SUBSTITUTE(ATALI[[#This Row],[N.B.nota]]," ",""),"-",""),"(",""),")",""),".",""),",",""),"/",""))</f>
        <v>gluestickgs098gramjk</v>
      </c>
      <c r="W220" s="4" t="s">
        <v>137</v>
      </c>
      <c r="X220" s="4" t="str">
        <f ca="1">IF(ATALI[[#This Row],[N.B.nota]]="","",ADDRESS(ROW(ATALI[QB]),COLUMN(ATALI[QB]))&amp;":"&amp;ADDRESS(ROW(),COLUMN(ATALI[QB])))</f>
        <v>$D$3:$D$220</v>
      </c>
      <c r="Y220" s="14" t="str">
        <f ca="1">IF(ATALI[[#This Row],[//]]="","",HYPERLINK("[../DB.xlsx]DB!e"&amp;MATCH(ATALI[[#This Row],[concat]],[4]!db[NB NOTA_C],0)+1,"&gt;"))</f>
        <v>&gt;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NOTA]]="","",HYPERLINK("[NOTA_.xlsx]NOTA!e"&amp;INDEX([6]!PAJAK[//],MATCH(ATALI[[#This Row],[ID NOTA]],[6]!PAJAK[ID],0)),"&gt;")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921</v>
      </c>
      <c r="F221" s="6"/>
      <c r="G221" s="3" t="str">
        <f>IF(ATALI[[#This Row],[ID NOTA]]="","",INDEX([6]!NOTA[TGL_H],MATCH(ATALI[[#This Row],[ID NOTA]],[6]!NOTA[ID],0)))</f>
        <v/>
      </c>
      <c r="H221" s="3" t="str">
        <f>IF(ATALI[[#This Row],[ID NOTA]]="","",INDEX([6]!NOTA[TGL.NOTA],MATCH(ATALI[[#This Row],[ID NOTA]],[6]!NOTA[ID],0)))</f>
        <v/>
      </c>
      <c r="I221" s="4" t="str">
        <f>IF(ATALI[[#This Row],[ID NOTA]]="","",INDEX([6]!NOTA[NO.NOTA],MATCH(ATALI[[#This Row],[ID NOTA]],[6]!NOTA[ID],0)))</f>
        <v/>
      </c>
      <c r="J221" s="4" t="s">
        <v>318</v>
      </c>
      <c r="K221" s="6">
        <f ca="1">IF(ATALI[[#This Row],[//]]="","",IF(INDEX([6]!NOTA[C],ATALI[[#This Row],[//]]-2)="","",INDEX([6]!NOTA[C],ATALI[[#This Row],[//]]-2)))</f>
        <v>2</v>
      </c>
      <c r="L221" s="6">
        <f ca="1">IF(ATALI[[#This Row],[//]]="","",INDEX([6]!NOTA[QTY],ATALI[[#This Row],[//]]-2))</f>
        <v>72</v>
      </c>
      <c r="M221" s="6" t="str">
        <f ca="1">IF(ATALI[[#This Row],[//]]="","",INDEX([6]!NOTA[STN],ATALI[[#This Row],[//]]-2))</f>
        <v>DZ</v>
      </c>
      <c r="N221" s="5">
        <f ca="1">IF(ATALI[[#This Row],[//]]="","",INDEX([6]!NOTA[HARGA SATUAN],ATALI[[#This Row],[//]]-2))</f>
        <v>41400</v>
      </c>
      <c r="O221" s="8">
        <f ca="1">IF(ATALI[[#This Row],[//]]="","",INDEX([6]!NOTA[DISC 1],ATALI[[#This Row],[//]]-2))</f>
        <v>0.125</v>
      </c>
      <c r="P221" s="8">
        <f ca="1">IF(ATALI[[#This Row],[//]]="","",INDEX([6]!NOTA[DISC 2],ATALI[[#This Row],[//]]-2))</f>
        <v>0.05</v>
      </c>
      <c r="Q221" s="5">
        <f ca="1">IF(ATALI[[#This Row],[//]]="","",INDEX([6]!NOTA[TOTAL],ATALI[[#This Row],[//]]-2))</f>
        <v>2477790</v>
      </c>
      <c r="R22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2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14321440</v>
      </c>
      <c r="T2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Row],[//]]="","",INDEX([6]!NOTA[NAMA BARANG],ATALI[[#This Row],[//]]-2))</f>
        <v>CORRECTION FLUID CF-S209 JK</v>
      </c>
      <c r="V221" s="4" t="str">
        <f ca="1">LOWER(SUBSTITUTE(SUBSTITUTE(SUBSTITUTE(SUBSTITUTE(SUBSTITUTE(SUBSTITUTE(SUBSTITUTE(ATALI[[#This Row],[N.B.nota]]," ",""),"-",""),"(",""),")",""),".",""),",",""),"/",""))</f>
        <v>correctionfluidcfs209jk</v>
      </c>
      <c r="W221" s="4" t="s">
        <v>137</v>
      </c>
      <c r="X221" s="4" t="str">
        <f ca="1">IF(ATALI[[#This Row],[N.B.nota]]="","",ADDRESS(ROW(ATALI[QB]),COLUMN(ATALI[QB]))&amp;":"&amp;ADDRESS(ROW(),COLUMN(ATALI[QB])))</f>
        <v>$D$3:$D$221</v>
      </c>
      <c r="Y221" s="14" t="str">
        <f ca="1">IF(ATALI[[#This Row],[//]]="","",HYPERLINK("[../DB.xlsx]DB!e"&amp;MATCH(ATALI[[#This Row],[concat]],[4]!db[NB NOTA_C],0)+1,"&gt;"))</f>
        <v>&gt;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NOTA]]="","",HYPERLINK("[NOTA_.xlsx]NOTA!e"&amp;INDEX([6]!PAJAK[//],MATCH(ATALI[[#This Row],[ID NOTA]],[6]!PAJAK[ID],0)),"&gt;") )</f>
        <v/>
      </c>
      <c r="D222" s="6" t="str">
        <f>IF(ATALI[[#This Row],[ID NOTA]]="","",INDEX(Table1[QB],MATCH(ATALI[[#This Row],[ID NOTA]],Table1[ID],0)))</f>
        <v/>
      </c>
      <c r="E2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2" s="6"/>
      <c r="G222" s="3" t="str">
        <f>IF(ATALI[[#This Row],[ID NOTA]]="","",INDEX([6]!NOTA[TGL_H],MATCH(ATALI[[#This Row],[ID NOTA]],[6]!NOTA[ID],0)))</f>
        <v/>
      </c>
      <c r="H222" s="3" t="str">
        <f>IF(ATALI[[#This Row],[ID NOTA]]="","",INDEX([6]!NOTA[TGL.NOTA],MATCH(ATALI[[#This Row],[ID NOTA]],[6]!NOTA[ID],0)))</f>
        <v/>
      </c>
      <c r="I222" s="4" t="str">
        <f>IF(ATALI[[#This Row],[ID NOTA]]="","",INDEX([6]!NOTA[NO.NOTA],MATCH(ATALI[[#This Row],[ID NOTA]],[6]!NOTA[ID],0)))</f>
        <v/>
      </c>
      <c r="J222" s="4" t="s">
        <v>136</v>
      </c>
      <c r="K222" s="6" t="str">
        <f ca="1">IF(ATALI[[#This Row],[//]]="","",IF(INDEX([6]!NOTA[C],ATALI[[#This Row],[//]]-2)="","",INDEX([6]!NOTA[C],ATALI[[#This Row],[//]]-2)))</f>
        <v/>
      </c>
      <c r="L222" s="6" t="str">
        <f ca="1">IF(ATALI[[#This Row],[//]]="","",INDEX([6]!NOTA[QTY],ATALI[[#This Row],[//]]-2))</f>
        <v/>
      </c>
      <c r="M222" s="6" t="str">
        <f ca="1">IF(ATALI[[#This Row],[//]]="","",INDEX([6]!NOTA[STN],ATALI[[#This Row],[//]]-2))</f>
        <v/>
      </c>
      <c r="N222" s="5" t="str">
        <f ca="1">IF(ATALI[[#This Row],[//]]="","",INDEX([6]!NOTA[HARGA SATUAN],ATALI[[#This Row],[//]]-2))</f>
        <v/>
      </c>
      <c r="O222" s="8" t="str">
        <f ca="1">IF(ATALI[[#This Row],[//]]="","",INDEX([6]!NOTA[DISC 1],ATALI[[#This Row],[//]]-2))</f>
        <v/>
      </c>
      <c r="P222" s="8" t="str">
        <f ca="1">IF(ATALI[[#This Row],[//]]="","",INDEX([6]!NOTA[DISC 2],ATALI[[#This Row],[//]]-2))</f>
        <v/>
      </c>
      <c r="Q222" s="5" t="str">
        <f ca="1">IF(ATALI[[#This Row],[//]]="","",INDEX([6]!NOTA[TOTAL],ATALI[[#This Row],[//]]-2))</f>
        <v/>
      </c>
      <c r="R2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Row],[//]]="","",INDEX([6]!NOTA[NAMA BARANG],ATALI[[#This Row],[//]]-2))</f>
        <v/>
      </c>
      <c r="V222" s="4" t="str">
        <f ca="1">LOWER(SUBSTITUTE(SUBSTITUTE(SUBSTITUTE(SUBSTITUTE(SUBSTITUTE(SUBSTITUTE(SUBSTITUTE(ATALI[[#This Row],[N.B.nota]]," ",""),"-",""),"(",""),")",""),".",""),",",""),"/",""))</f>
        <v/>
      </c>
      <c r="W222" s="4" t="s">
        <v>136</v>
      </c>
      <c r="X222" s="4" t="str">
        <f ca="1">IF(ATALI[[#This Row],[N.B.nota]]="","",ADDRESS(ROW(ATALI[QB]),COLUMN(ATALI[QB]))&amp;":"&amp;ADDRESS(ROW(),COLUMN(ATALI[QB])))</f>
        <v/>
      </c>
      <c r="Y222" s="14" t="str">
        <f ca="1">IF(ATALI[[#This Row],[//]]="","",HYPERLINK("[../DB.xlsx]DB!e"&amp;MATCH(ATALI[[#This Row],[concat]],[4]!db[NB NOTA_C],0)+1,"&gt;"))</f>
        <v/>
      </c>
    </row>
    <row r="223" spans="1:25" x14ac:dyDescent="0.25">
      <c r="A223" s="4" t="s">
        <v>123</v>
      </c>
      <c r="B223" s="6">
        <f ca="1">IF(ATALI[[#This Row],[N_ID]]="","",INDEX(Table1[ID],MATCH(ATALI[[#This Row],[N_ID]],Table1[N_ID],0)))</f>
        <v>171</v>
      </c>
      <c r="C223" s="6" t="str">
        <f ca="1">IF(ATALI[[#This Row],[ID NOTA]]="","",HYPERLINK("[NOTA_.xlsx]NOTA!e"&amp;INDEX([6]!PAJAK[//],MATCH(ATALI[[#This Row],[ID NOTA]],[6]!PAJAK[ID],0)),"&gt;") )</f>
        <v>&gt;</v>
      </c>
      <c r="D223" s="6">
        <f ca="1">IF(ATALI[[#This Row],[ID NOTA]]="","",INDEX(Table1[QB],MATCH(ATALI[[#This Row],[ID NOTA]],Table1[ID],0)))</f>
        <v>11</v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888</v>
      </c>
      <c r="F223" s="6"/>
      <c r="G223" s="3">
        <f ca="1">IF(ATALI[[#This Row],[ID NOTA]]="","",INDEX([6]!NOTA[TGL_H],MATCH(ATALI[[#This Row],[ID NOTA]],[6]!NOTA[ID],0)))</f>
        <v>44771</v>
      </c>
      <c r="H223" s="3">
        <f ca="1">IF(ATALI[[#This Row],[ID NOTA]]="","",INDEX([6]!NOTA[TGL.NOTA],MATCH(ATALI[[#This Row],[ID NOTA]],[6]!NOTA[ID],0)))</f>
        <v>44768</v>
      </c>
      <c r="I223" s="4" t="str">
        <f ca="1">IF(ATALI[[#This Row],[ID NOTA]]="","",INDEX([6]!NOTA[NO.NOTA],MATCH(ATALI[[#This Row],[ID NOTA]],[6]!NOTA[ID],0)))</f>
        <v>SA220711022</v>
      </c>
      <c r="J223" s="4" t="s">
        <v>335</v>
      </c>
      <c r="K223" s="6">
        <f ca="1">IF(ATALI[[#This Row],[//]]="","",IF(INDEX([6]!NOTA[C],ATALI[[#This Row],[//]]-2)="","",INDEX([6]!NOTA[C],ATALI[[#This Row],[//]]-2)))</f>
        <v>5</v>
      </c>
      <c r="L223" s="6">
        <f ca="1">IF(ATALI[[#This Row],[//]]="","",INDEX([6]!NOTA[QTY],ATALI[[#This Row],[//]]-2))</f>
        <v>4320</v>
      </c>
      <c r="M223" s="6" t="str">
        <f ca="1">IF(ATALI[[#This Row],[//]]="","",INDEX([6]!NOTA[STN],ATALI[[#This Row],[//]]-2))</f>
        <v>PCS</v>
      </c>
      <c r="N223" s="5">
        <f ca="1">IF(ATALI[[#This Row],[//]]="","",INDEX([6]!NOTA[HARGA SATUAN],ATALI[[#This Row],[//]]-2))</f>
        <v>2200</v>
      </c>
      <c r="O223" s="8">
        <f ca="1">IF(ATALI[[#This Row],[//]]="","",INDEX([6]!NOTA[DISC 1],ATALI[[#This Row],[//]]-2))</f>
        <v>0.125</v>
      </c>
      <c r="P223" s="8">
        <f ca="1">IF(ATALI[[#This Row],[//]]="","",INDEX([6]!NOTA[DISC 2],ATALI[[#This Row],[//]]-2))</f>
        <v>0.05</v>
      </c>
      <c r="Q223" s="5">
        <f ca="1">IF(ATALI[[#This Row],[//]]="","",INDEX([6]!NOTA[TOTAL],ATALI[[#This Row],[//]]-2))</f>
        <v>7900200</v>
      </c>
      <c r="R2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Row],[//]]="","",INDEX([6]!NOTA[NAMA BARANG],ATALI[[#This Row],[//]]-2))</f>
        <v>GLUE STICK GS-100 (8 GRAM) JK</v>
      </c>
      <c r="V223" s="4" t="str">
        <f ca="1">LOWER(SUBSTITUTE(SUBSTITUTE(SUBSTITUTE(SUBSTITUTE(SUBSTITUTE(SUBSTITUTE(SUBSTITUTE(ATALI[[#This Row],[N.B.nota]]," ",""),"-",""),"(",""),")",""),".",""),",",""),"/",""))</f>
        <v>gluestickgs1008gramjk</v>
      </c>
      <c r="W223" s="4" t="s">
        <v>137</v>
      </c>
      <c r="X223" s="4" t="str">
        <f ca="1">IF(ATALI[[#This Row],[N.B.nota]]="","",ADDRESS(ROW(ATALI[QB]),COLUMN(ATALI[QB]))&amp;":"&amp;ADDRESS(ROW(),COLUMN(ATALI[QB])))</f>
        <v>$D$3:$D$223</v>
      </c>
      <c r="Y223" s="14" t="str">
        <f ca="1">IF(ATALI[[#This Row],[//]]="","",HYPERLINK("[../DB.xlsx]DB!e"&amp;MATCH(ATALI[[#This Row],[concat]],[4]!db[NB NOTA_C],0)+1,"&gt;"))</f>
        <v>&gt;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NOTA]]="","",HYPERLINK("[NOTA_.xlsx]NOTA!e"&amp;INDEX([6]!PAJAK[//],MATCH(ATALI[[#This Row],[ID NOTA]],[6]!PAJAK[ID],0)),"&gt;") )</f>
        <v/>
      </c>
      <c r="D224" s="6" t="str">
        <f>IF(ATALI[[#This Row],[ID NOTA]]="","",INDEX(Table1[QB],MATCH(ATALI[[#This Row],[ID NOTA]],Table1[ID],0)))</f>
        <v/>
      </c>
      <c r="E2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889</v>
      </c>
      <c r="F224" s="6"/>
      <c r="G224" s="3" t="str">
        <f>IF(ATALI[[#This Row],[ID NOTA]]="","",INDEX([6]!NOTA[TGL_H],MATCH(ATALI[[#This Row],[ID NOTA]],[6]!NOTA[ID],0)))</f>
        <v/>
      </c>
      <c r="H224" s="3" t="str">
        <f>IF(ATALI[[#This Row],[ID NOTA]]="","",INDEX([6]!NOTA[TGL.NOTA],MATCH(ATALI[[#This Row],[ID NOTA]],[6]!NOTA[ID],0)))</f>
        <v/>
      </c>
      <c r="I224" s="4" t="str">
        <f>IF(ATALI[[#This Row],[ID NOTA]]="","",INDEX([6]!NOTA[NO.NOTA],MATCH(ATALI[[#This Row],[ID NOTA]],[6]!NOTA[ID],0)))</f>
        <v/>
      </c>
      <c r="J224" s="4" t="s">
        <v>355</v>
      </c>
      <c r="K224" s="6">
        <f ca="1">IF(ATALI[[#This Row],[//]]="","",IF(INDEX([6]!NOTA[C],ATALI[[#This Row],[//]]-2)="","",INDEX([6]!NOTA[C],ATALI[[#This Row],[//]]-2)))</f>
        <v>2</v>
      </c>
      <c r="L224" s="6">
        <f ca="1">IF(ATALI[[#This Row],[//]]="","",INDEX([6]!NOTA[QTY],ATALI[[#This Row],[//]]-2))</f>
        <v>576</v>
      </c>
      <c r="M224" s="6" t="str">
        <f ca="1">IF(ATALI[[#This Row],[//]]="","",INDEX([6]!NOTA[STN],ATALI[[#This Row],[//]]-2))</f>
        <v>PCS</v>
      </c>
      <c r="N224" s="5">
        <f ca="1">IF(ATALI[[#This Row],[//]]="","",INDEX([6]!NOTA[HARGA SATUAN],ATALI[[#This Row],[//]]-2))</f>
        <v>2500</v>
      </c>
      <c r="O224" s="8">
        <f ca="1">IF(ATALI[[#This Row],[//]]="","",INDEX([6]!NOTA[DISC 1],ATALI[[#This Row],[//]]-2))</f>
        <v>0.125</v>
      </c>
      <c r="P224" s="8">
        <f ca="1">IF(ATALI[[#This Row],[//]]="","",INDEX([6]!NOTA[DISC 2],ATALI[[#This Row],[//]]-2))</f>
        <v>0.05</v>
      </c>
      <c r="Q224" s="5">
        <f ca="1">IF(ATALI[[#This Row],[//]]="","",INDEX([6]!NOTA[TOTAL],ATALI[[#This Row],[//]]-2))</f>
        <v>1197000</v>
      </c>
      <c r="R2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Row],[//]]="","",INDEX([6]!NOTA[NAMA BARANG],ATALI[[#This Row],[//]]-2))</f>
        <v>GLUE GL-50 JK</v>
      </c>
      <c r="V224" s="4" t="str">
        <f ca="1">LOWER(SUBSTITUTE(SUBSTITUTE(SUBSTITUTE(SUBSTITUTE(SUBSTITUTE(SUBSTITUTE(SUBSTITUTE(ATALI[[#This Row],[N.B.nota]]," ",""),"-",""),"(",""),")",""),".",""),",",""),"/",""))</f>
        <v>gluegl50jk</v>
      </c>
      <c r="W224" s="4" t="s">
        <v>137</v>
      </c>
      <c r="X224" s="4" t="str">
        <f ca="1">IF(ATALI[[#This Row],[N.B.nota]]="","",ADDRESS(ROW(ATALI[QB]),COLUMN(ATALI[QB]))&amp;":"&amp;ADDRESS(ROW(),COLUMN(ATALI[QB])))</f>
        <v>$D$3:$D$224</v>
      </c>
      <c r="Y224" s="14" t="str">
        <f ca="1">IF(ATALI[[#This Row],[//]]="","",HYPERLINK("[../DB.xlsx]DB!e"&amp;MATCH(ATALI[[#This Row],[concat]],[4]!db[NB NOTA_C],0)+1,"&gt;"))</f>
        <v>&gt;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NOTA]]="","",HYPERLINK("[NOTA_.xlsx]NOTA!e"&amp;INDEX([6]!PAJAK[//],MATCH(ATALI[[#This Row],[ID NOTA]],[6]!PAJAK[ID],0)),"&gt;") )</f>
        <v/>
      </c>
      <c r="D225" s="6" t="str">
        <f>IF(ATALI[[#This Row],[ID NOTA]]="","",INDEX(Table1[QB],MATCH(ATALI[[#This Row],[ID NOTA]],Table1[ID],0)))</f>
        <v/>
      </c>
      <c r="E2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890</v>
      </c>
      <c r="F225" s="6"/>
      <c r="G225" s="3" t="str">
        <f>IF(ATALI[[#This Row],[ID NOTA]]="","",INDEX([6]!NOTA[TGL_H],MATCH(ATALI[[#This Row],[ID NOTA]],[6]!NOTA[ID],0)))</f>
        <v/>
      </c>
      <c r="H225" s="3" t="str">
        <f>IF(ATALI[[#This Row],[ID NOTA]]="","",INDEX([6]!NOTA[TGL.NOTA],MATCH(ATALI[[#This Row],[ID NOTA]],[6]!NOTA[ID],0)))</f>
        <v/>
      </c>
      <c r="I225" s="4" t="str">
        <f>IF(ATALI[[#This Row],[ID NOTA]]="","",INDEX([6]!NOTA[NO.NOTA],MATCH(ATALI[[#This Row],[ID NOTA]],[6]!NOTA[ID],0)))</f>
        <v/>
      </c>
      <c r="J225" s="4" t="s">
        <v>323</v>
      </c>
      <c r="K225" s="6">
        <f ca="1">IF(ATALI[[#This Row],[//]]="","",IF(INDEX([6]!NOTA[C],ATALI[[#This Row],[//]]-2)="","",INDEX([6]!NOTA[C],ATALI[[#This Row],[//]]-2)))</f>
        <v>1</v>
      </c>
      <c r="L225" s="6">
        <f ca="1">IF(ATALI[[#This Row],[//]]="","",INDEX([6]!NOTA[QTY],ATALI[[#This Row],[//]]-2))</f>
        <v>648</v>
      </c>
      <c r="M225" s="6" t="str">
        <f ca="1">IF(ATALI[[#This Row],[//]]="","",INDEX([6]!NOTA[STN],ATALI[[#This Row],[//]]-2))</f>
        <v>PCS</v>
      </c>
      <c r="N225" s="5">
        <f ca="1">IF(ATALI[[#This Row],[//]]="","",INDEX([6]!NOTA[HARGA SATUAN],ATALI[[#This Row],[//]]-2))</f>
        <v>3400</v>
      </c>
      <c r="O225" s="8">
        <f ca="1">IF(ATALI[[#This Row],[//]]="","",INDEX([6]!NOTA[DISC 1],ATALI[[#This Row],[//]]-2))</f>
        <v>0.125</v>
      </c>
      <c r="P225" s="8">
        <f ca="1">IF(ATALI[[#This Row],[//]]="","",INDEX([6]!NOTA[DISC 2],ATALI[[#This Row],[//]]-2))</f>
        <v>0.05</v>
      </c>
      <c r="Q225" s="5">
        <f ca="1">IF(ATALI[[#This Row],[//]]="","",INDEX([6]!NOTA[TOTAL],ATALI[[#This Row],[//]]-2))</f>
        <v>1831410</v>
      </c>
      <c r="R2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Row],[//]]="","",INDEX([6]!NOTA[NAMA BARANG],ATALI[[#This Row],[//]]-2))</f>
        <v>GLUE STICK GS-15 JK</v>
      </c>
      <c r="V225" s="4" t="str">
        <f ca="1">LOWER(SUBSTITUTE(SUBSTITUTE(SUBSTITUTE(SUBSTITUTE(SUBSTITUTE(SUBSTITUTE(SUBSTITUTE(ATALI[[#This Row],[N.B.nota]]," ",""),"-",""),"(",""),")",""),".",""),",",""),"/",""))</f>
        <v>gluestickgs15jk</v>
      </c>
      <c r="W225" s="4" t="s">
        <v>137</v>
      </c>
      <c r="X225" s="4" t="str">
        <f ca="1">IF(ATALI[[#This Row],[N.B.nota]]="","",ADDRESS(ROW(ATALI[QB]),COLUMN(ATALI[QB]))&amp;":"&amp;ADDRESS(ROW(),COLUMN(ATALI[QB])))</f>
        <v>$D$3:$D$225</v>
      </c>
      <c r="Y225" s="14" t="str">
        <f ca="1">IF(ATALI[[#This Row],[//]]="","",HYPERLINK("[../DB.xlsx]DB!e"&amp;MATCH(ATALI[[#This Row],[concat]],[4]!db[NB NOTA_C],0)+1,"&gt;"))</f>
        <v>&gt;</v>
      </c>
    </row>
    <row r="226" spans="1:25" x14ac:dyDescent="0.25">
      <c r="A226" s="4"/>
      <c r="B226" s="6" t="str">
        <f>IF(ATALI[[#This Row],[N_ID]]="","",INDEX(Table1[ID],MATCH(ATALI[[#This Row],[N_ID]],Table1[N_ID],0)))</f>
        <v/>
      </c>
      <c r="C226" s="6" t="str">
        <f>IF(ATALI[[#This Row],[ID NOTA]]="","",HYPERLINK("[NOTA_.xlsx]NOTA!e"&amp;INDEX([6]!PAJAK[//],MATCH(ATALI[[#This Row],[ID NOTA]],[6]!PAJAK[ID],0)),"&gt;") )</f>
        <v/>
      </c>
      <c r="D226" s="6" t="str">
        <f>IF(ATALI[[#This Row],[ID NOTA]]="","",INDEX(Table1[QB],MATCH(ATALI[[#This Row],[ID NOTA]],Table1[ID],0)))</f>
        <v/>
      </c>
      <c r="E2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891</v>
      </c>
      <c r="F226" s="6"/>
      <c r="G226" s="3" t="str">
        <f>IF(ATALI[[#This Row],[ID NOTA]]="","",INDEX([6]!NOTA[TGL_H],MATCH(ATALI[[#This Row],[ID NOTA]],[6]!NOTA[ID],0)))</f>
        <v/>
      </c>
      <c r="H226" s="3" t="str">
        <f>IF(ATALI[[#This Row],[ID NOTA]]="","",INDEX([6]!NOTA[TGL.NOTA],MATCH(ATALI[[#This Row],[ID NOTA]],[6]!NOTA[ID],0)))</f>
        <v/>
      </c>
      <c r="I226" s="4" t="str">
        <f>IF(ATALI[[#This Row],[ID NOTA]]="","",INDEX([6]!NOTA[NO.NOTA],MATCH(ATALI[[#This Row],[ID NOTA]],[6]!NOTA[ID],0)))</f>
        <v/>
      </c>
      <c r="J226" s="4" t="s">
        <v>318</v>
      </c>
      <c r="K226" s="6">
        <f ca="1">IF(ATALI[[#This Row],[//]]="","",IF(INDEX([6]!NOTA[C],ATALI[[#This Row],[//]]-2)="","",INDEX([6]!NOTA[C],ATALI[[#This Row],[//]]-2)))</f>
        <v>2</v>
      </c>
      <c r="L226" s="6">
        <f ca="1">IF(ATALI[[#This Row],[//]]="","",INDEX([6]!NOTA[QTY],ATALI[[#This Row],[//]]-2))</f>
        <v>72</v>
      </c>
      <c r="M226" s="6" t="str">
        <f ca="1">IF(ATALI[[#This Row],[//]]="","",INDEX([6]!NOTA[STN],ATALI[[#This Row],[//]]-2))</f>
        <v>DZ</v>
      </c>
      <c r="N226" s="5">
        <f ca="1">IF(ATALI[[#This Row],[//]]="","",INDEX([6]!NOTA[HARGA SATUAN],ATALI[[#This Row],[//]]-2))</f>
        <v>41400</v>
      </c>
      <c r="O226" s="8">
        <f ca="1">IF(ATALI[[#This Row],[//]]="","",INDEX([6]!NOTA[DISC 1],ATALI[[#This Row],[//]]-2))</f>
        <v>0.125</v>
      </c>
      <c r="P226" s="8">
        <f ca="1">IF(ATALI[[#This Row],[//]]="","",INDEX([6]!NOTA[DISC 2],ATALI[[#This Row],[//]]-2))</f>
        <v>0.05</v>
      </c>
      <c r="Q226" s="5">
        <f ca="1">IF(ATALI[[#This Row],[//]]="","",INDEX([6]!NOTA[TOTAL],ATALI[[#This Row],[//]]-2))</f>
        <v>2477790</v>
      </c>
      <c r="R2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Row],[//]]="","",INDEX([6]!NOTA[NAMA BARANG],ATALI[[#This Row],[//]]-2))</f>
        <v>CORRECTION FLUID CF-S209 JK</v>
      </c>
      <c r="V226" s="4" t="str">
        <f ca="1">LOWER(SUBSTITUTE(SUBSTITUTE(SUBSTITUTE(SUBSTITUTE(SUBSTITUTE(SUBSTITUTE(SUBSTITUTE(ATALI[[#This Row],[N.B.nota]]," ",""),"-",""),"(",""),")",""),".",""),",",""),"/",""))</f>
        <v>correctionfluidcfs209jk</v>
      </c>
      <c r="W226" s="4" t="s">
        <v>137</v>
      </c>
      <c r="X226" s="4" t="str">
        <f ca="1">IF(ATALI[[#This Row],[N.B.nota]]="","",ADDRESS(ROW(ATALI[QB]),COLUMN(ATALI[QB]))&amp;":"&amp;ADDRESS(ROW(),COLUMN(ATALI[QB])))</f>
        <v>$D$3:$D$226</v>
      </c>
      <c r="Y226" s="14" t="str">
        <f ca="1">IF(ATALI[[#This Row],[//]]="","",HYPERLINK("[../DB.xlsx]DB!e"&amp;MATCH(ATALI[[#This Row],[concat]],[4]!db[NB NOTA_C],0)+1,"&gt;"))</f>
        <v>&gt;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NOTA]]="","",HYPERLINK("[NOTA_.xlsx]NOTA!e"&amp;INDEX([6]!PAJAK[//],MATCH(ATALI[[#This Row],[ID NOTA]],[6]!PAJAK[ID],0)),"&gt;") )</f>
        <v/>
      </c>
      <c r="D227" s="6" t="str">
        <f>IF(ATALI[[#This Row],[ID NOTA]]="","",INDEX(Table1[QB],MATCH(ATALI[[#This Row],[ID NOTA]],Table1[ID],0)))</f>
        <v/>
      </c>
      <c r="E2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892</v>
      </c>
      <c r="F227" s="6"/>
      <c r="G227" s="3" t="str">
        <f>IF(ATALI[[#This Row],[ID NOTA]]="","",INDEX([6]!NOTA[TGL_H],MATCH(ATALI[[#This Row],[ID NOTA]],[6]!NOTA[ID],0)))</f>
        <v/>
      </c>
      <c r="H227" s="3" t="str">
        <f>IF(ATALI[[#This Row],[ID NOTA]]="","",INDEX([6]!NOTA[TGL.NOTA],MATCH(ATALI[[#This Row],[ID NOTA]],[6]!NOTA[ID],0)))</f>
        <v/>
      </c>
      <c r="I227" s="4" t="str">
        <f>IF(ATALI[[#This Row],[ID NOTA]]="","",INDEX([6]!NOTA[NO.NOTA],MATCH(ATALI[[#This Row],[ID NOTA]],[6]!NOTA[ID],0)))</f>
        <v/>
      </c>
      <c r="J227" s="4" t="s">
        <v>356</v>
      </c>
      <c r="K227" s="6">
        <f ca="1">IF(ATALI[[#This Row],[//]]="","",IF(INDEX([6]!NOTA[C],ATALI[[#This Row],[//]]-2)="","",INDEX([6]!NOTA[C],ATALI[[#This Row],[//]]-2)))</f>
        <v>3</v>
      </c>
      <c r="L227" s="6">
        <f ca="1">IF(ATALI[[#This Row],[//]]="","",INDEX([6]!NOTA[QTY],ATALI[[#This Row],[//]]-2))</f>
        <v>2160</v>
      </c>
      <c r="M227" s="6" t="str">
        <f ca="1">IF(ATALI[[#This Row],[//]]="","",INDEX([6]!NOTA[STN],ATALI[[#This Row],[//]]-2))</f>
        <v>PCS</v>
      </c>
      <c r="N227" s="5">
        <f ca="1">IF(ATALI[[#This Row],[//]]="","",INDEX([6]!NOTA[HARGA SATUAN],ATALI[[#This Row],[//]]-2))</f>
        <v>4600</v>
      </c>
      <c r="O227" s="8">
        <f ca="1">IF(ATALI[[#This Row],[//]]="","",INDEX([6]!NOTA[DISC 1],ATALI[[#This Row],[//]]-2))</f>
        <v>0.125</v>
      </c>
      <c r="P227" s="8">
        <f ca="1">IF(ATALI[[#This Row],[//]]="","",INDEX([6]!NOTA[DISC 2],ATALI[[#This Row],[//]]-2))</f>
        <v>0.05</v>
      </c>
      <c r="Q227" s="5">
        <f ca="1">IF(ATALI[[#This Row],[//]]="","",INDEX([6]!NOTA[TOTAL],ATALI[[#This Row],[//]]-2))</f>
        <v>8259300</v>
      </c>
      <c r="R2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Row],[//]]="","",INDEX([6]!NOTA[NAMA BARANG],ATALI[[#This Row],[//]]-2))</f>
        <v>CORRECTION TAPE CT-507 JK</v>
      </c>
      <c r="V227" s="4" t="str">
        <f ca="1">LOWER(SUBSTITUTE(SUBSTITUTE(SUBSTITUTE(SUBSTITUTE(SUBSTITUTE(SUBSTITUTE(SUBSTITUTE(ATALI[[#This Row],[N.B.nota]]," ",""),"-",""),"(",""),")",""),".",""),",",""),"/",""))</f>
        <v>correctiontapect507jk</v>
      </c>
      <c r="W227" s="4" t="s">
        <v>137</v>
      </c>
      <c r="X227" s="4" t="str">
        <f ca="1">IF(ATALI[[#This Row],[N.B.nota]]="","",ADDRESS(ROW(ATALI[QB]),COLUMN(ATALI[QB]))&amp;":"&amp;ADDRESS(ROW(),COLUMN(ATALI[QB])))</f>
        <v>$D$3:$D$227</v>
      </c>
      <c r="Y227" s="14" t="str">
        <f ca="1">IF(ATALI[[#This Row],[//]]="","",HYPERLINK("[../DB.xlsx]DB!e"&amp;MATCH(ATALI[[#This Row],[concat]],[4]!db[NB NOTA_C],0)+1,"&gt;"))</f>
        <v>&gt;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NOTA]]="","",HYPERLINK("[NOTA_.xlsx]NOTA!e"&amp;INDEX([6]!PAJAK[//],MATCH(ATALI[[#This Row],[ID NOTA]],[6]!PAJAK[ID],0)),"&gt;") )</f>
        <v/>
      </c>
      <c r="D228" s="6" t="str">
        <f>IF(ATALI[[#This Row],[ID NOTA]]="","",INDEX(Table1[QB],MATCH(ATALI[[#This Row],[ID NOTA]],Table1[ID],0)))</f>
        <v/>
      </c>
      <c r="E2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893</v>
      </c>
      <c r="F228" s="6"/>
      <c r="G228" s="3" t="str">
        <f>IF(ATALI[[#This Row],[ID NOTA]]="","",INDEX([6]!NOTA[TGL_H],MATCH(ATALI[[#This Row],[ID NOTA]],[6]!NOTA[ID],0)))</f>
        <v/>
      </c>
      <c r="H228" s="3" t="str">
        <f>IF(ATALI[[#This Row],[ID NOTA]]="","",INDEX([6]!NOTA[TGL.NOTA],MATCH(ATALI[[#This Row],[ID NOTA]],[6]!NOTA[ID],0)))</f>
        <v/>
      </c>
      <c r="I228" s="4" t="str">
        <f>IF(ATALI[[#This Row],[ID NOTA]]="","",INDEX([6]!NOTA[NO.NOTA],MATCH(ATALI[[#This Row],[ID NOTA]],[6]!NOTA[ID],0)))</f>
        <v/>
      </c>
      <c r="J228" s="4" t="s">
        <v>252</v>
      </c>
      <c r="K228" s="6">
        <f ca="1">IF(ATALI[[#This Row],[//]]="","",IF(INDEX([6]!NOTA[C],ATALI[[#This Row],[//]]-2)="","",INDEX([6]!NOTA[C],ATALI[[#This Row],[//]]-2)))</f>
        <v>6</v>
      </c>
      <c r="L228" s="6">
        <f ca="1">IF(ATALI[[#This Row],[//]]="","",INDEX([6]!NOTA[QTY],ATALI[[#This Row],[//]]-2))</f>
        <v>144</v>
      </c>
      <c r="M228" s="6" t="str">
        <f ca="1">IF(ATALI[[#This Row],[//]]="","",INDEX([6]!NOTA[STN],ATALI[[#This Row],[//]]-2))</f>
        <v>PCS</v>
      </c>
      <c r="N228" s="5">
        <f ca="1">IF(ATALI[[#This Row],[//]]="","",INDEX([6]!NOTA[HARGA SATUAN],ATALI[[#This Row],[//]]-2))</f>
        <v>18800</v>
      </c>
      <c r="O228" s="8">
        <f ca="1">IF(ATALI[[#This Row],[//]]="","",INDEX([6]!NOTA[DISC 1],ATALI[[#This Row],[//]]-2))</f>
        <v>0.125</v>
      </c>
      <c r="P228" s="8">
        <f ca="1">IF(ATALI[[#This Row],[//]]="","",INDEX([6]!NOTA[DISC 2],ATALI[[#This Row],[//]]-2))</f>
        <v>0.05</v>
      </c>
      <c r="Q228" s="5">
        <f ca="1">IF(ATALI[[#This Row],[//]]="","",INDEX([6]!NOTA[TOTAL],ATALI[[#This Row],[//]]-2))</f>
        <v>2250360</v>
      </c>
      <c r="R2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Row],[//]]="","",INDEX([6]!NOTA[NAMA BARANG],ATALI[[#This Row],[//]]-2))</f>
        <v>TAPE CUTTER TD-103 JK</v>
      </c>
      <c r="V228" s="4" t="str">
        <f ca="1">LOWER(SUBSTITUTE(SUBSTITUTE(SUBSTITUTE(SUBSTITUTE(SUBSTITUTE(SUBSTITUTE(SUBSTITUTE(ATALI[[#This Row],[N.B.nota]]," ",""),"-",""),"(",""),")",""),".",""),",",""),"/",""))</f>
        <v>tapecuttertd103jk</v>
      </c>
      <c r="W228" s="4" t="s">
        <v>137</v>
      </c>
      <c r="X228" s="4" t="str">
        <f ca="1">IF(ATALI[[#This Row],[N.B.nota]]="","",ADDRESS(ROW(ATALI[QB]),COLUMN(ATALI[QB]))&amp;":"&amp;ADDRESS(ROW(),COLUMN(ATALI[QB])))</f>
        <v>$D$3:$D$228</v>
      </c>
      <c r="Y228" s="14" t="str">
        <f ca="1">IF(ATALI[[#This Row],[//]]="","",HYPERLINK("[../DB.xlsx]DB!e"&amp;MATCH(ATALI[[#This Row],[concat]],[4]!db[NB NOTA_C],0)+1,"&gt;"))</f>
        <v>&gt;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NOTA]]="","",HYPERLINK("[NOTA_.xlsx]NOTA!e"&amp;INDEX([6]!PAJAK[//],MATCH(ATALI[[#This Row],[ID NOTA]],[6]!PAJAK[ID],0)),"&gt;") )</f>
        <v/>
      </c>
      <c r="D229" s="6" t="str">
        <f>IF(ATALI[[#This Row],[ID NOTA]]="","",INDEX(Table1[QB],MATCH(ATALI[[#This Row],[ID NOTA]],Table1[ID],0)))</f>
        <v/>
      </c>
      <c r="E2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894</v>
      </c>
      <c r="F229" s="6"/>
      <c r="G229" s="3" t="str">
        <f>IF(ATALI[[#This Row],[ID NOTA]]="","",INDEX([6]!NOTA[TGL_H],MATCH(ATALI[[#This Row],[ID NOTA]],[6]!NOTA[ID],0)))</f>
        <v/>
      </c>
      <c r="H229" s="3" t="str">
        <f>IF(ATALI[[#This Row],[ID NOTA]]="","",INDEX([6]!NOTA[TGL.NOTA],MATCH(ATALI[[#This Row],[ID NOTA]],[6]!NOTA[ID],0)))</f>
        <v/>
      </c>
      <c r="I229" s="4" t="str">
        <f>IF(ATALI[[#This Row],[ID NOTA]]="","",INDEX([6]!NOTA[NO.NOTA],MATCH(ATALI[[#This Row],[ID NOTA]],[6]!NOTA[ID],0)))</f>
        <v/>
      </c>
      <c r="J229" s="4" t="s">
        <v>338</v>
      </c>
      <c r="K229" s="6">
        <f ca="1">IF(ATALI[[#This Row],[//]]="","",IF(INDEX([6]!NOTA[C],ATALI[[#This Row],[//]]-2)="","",INDEX([6]!NOTA[C],ATALI[[#This Row],[//]]-2)))</f>
        <v>2</v>
      </c>
      <c r="L229" s="6">
        <f ca="1">IF(ATALI[[#This Row],[//]]="","",INDEX([6]!NOTA[QTY],ATALI[[#This Row],[//]]-2))</f>
        <v>480</v>
      </c>
      <c r="M229" s="6" t="str">
        <f ca="1">IF(ATALI[[#This Row],[//]]="","",INDEX([6]!NOTA[STN],ATALI[[#This Row],[//]]-2))</f>
        <v>PCS</v>
      </c>
      <c r="N229" s="5">
        <f ca="1">IF(ATALI[[#This Row],[//]]="","",INDEX([6]!NOTA[HARGA SATUAN],ATALI[[#This Row],[//]]-2))</f>
        <v>6600</v>
      </c>
      <c r="O229" s="8">
        <f ca="1">IF(ATALI[[#This Row],[//]]="","",INDEX([6]!NOTA[DISC 1],ATALI[[#This Row],[//]]-2))</f>
        <v>0.125</v>
      </c>
      <c r="P229" s="8">
        <f ca="1">IF(ATALI[[#This Row],[//]]="","",INDEX([6]!NOTA[DISC 2],ATALI[[#This Row],[//]]-2))</f>
        <v>0.05</v>
      </c>
      <c r="Q229" s="5">
        <f ca="1">IF(ATALI[[#This Row],[//]]="","",INDEX([6]!NOTA[TOTAL],ATALI[[#This Row],[//]]-2))</f>
        <v>2633400</v>
      </c>
      <c r="R2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Row],[//]]="","",INDEX([6]!NOTA[NAMA BARANG],ATALI[[#This Row],[//]]-2))</f>
        <v>STAPLER HD-10CL JK</v>
      </c>
      <c r="V229" s="4" t="str">
        <f ca="1">LOWER(SUBSTITUTE(SUBSTITUTE(SUBSTITUTE(SUBSTITUTE(SUBSTITUTE(SUBSTITUTE(SUBSTITUTE(ATALI[[#This Row],[N.B.nota]]," ",""),"-",""),"(",""),")",""),".",""),",",""),"/",""))</f>
        <v>staplerhd10cljk</v>
      </c>
      <c r="W229" s="4" t="s">
        <v>137</v>
      </c>
      <c r="X229" s="4" t="str">
        <f ca="1">IF(ATALI[[#This Row],[N.B.nota]]="","",ADDRESS(ROW(ATALI[QB]),COLUMN(ATALI[QB]))&amp;":"&amp;ADDRESS(ROW(),COLUMN(ATALI[QB])))</f>
        <v>$D$3:$D$229</v>
      </c>
      <c r="Y229" s="14" t="str">
        <f ca="1">IF(ATALI[[#This Row],[//]]="","",HYPERLINK("[../DB.xlsx]DB!e"&amp;MATCH(ATALI[[#This Row],[concat]],[4]!db[NB NOTA_C],0)+1,"&gt;"))</f>
        <v>&gt;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NOTA]]="","",HYPERLINK("[NOTA_.xlsx]NOTA!e"&amp;INDEX([6]!PAJAK[//],MATCH(ATALI[[#This Row],[ID NOTA]],[6]!PAJAK[ID],0)),"&gt;") )</f>
        <v/>
      </c>
      <c r="D230" s="6" t="str">
        <f>IF(ATALI[[#This Row],[ID NOTA]]="","",INDEX(Table1[QB],MATCH(ATALI[[#This Row],[ID NOTA]],Table1[ID],0)))</f>
        <v/>
      </c>
      <c r="E2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895</v>
      </c>
      <c r="F230" s="6"/>
      <c r="G230" s="3" t="str">
        <f>IF(ATALI[[#This Row],[ID NOTA]]="","",INDEX([6]!NOTA[TGL_H],MATCH(ATALI[[#This Row],[ID NOTA]],[6]!NOTA[ID],0)))</f>
        <v/>
      </c>
      <c r="H230" s="3" t="str">
        <f>IF(ATALI[[#This Row],[ID NOTA]]="","",INDEX([6]!NOTA[TGL.NOTA],MATCH(ATALI[[#This Row],[ID NOTA]],[6]!NOTA[ID],0)))</f>
        <v/>
      </c>
      <c r="I230" s="4" t="str">
        <f>IF(ATALI[[#This Row],[ID NOTA]]="","",INDEX([6]!NOTA[NO.NOTA],MATCH(ATALI[[#This Row],[ID NOTA]],[6]!NOTA[ID],0)))</f>
        <v/>
      </c>
      <c r="J230" s="4" t="s">
        <v>256</v>
      </c>
      <c r="K230" s="6">
        <f ca="1">IF(ATALI[[#This Row],[//]]="","",IF(INDEX([6]!NOTA[C],ATALI[[#This Row],[//]]-2)="","",INDEX([6]!NOTA[C],ATALI[[#This Row],[//]]-2)))</f>
        <v>2</v>
      </c>
      <c r="L230" s="6">
        <f ca="1">IF(ATALI[[#This Row],[//]]="","",INDEX([6]!NOTA[QTY],ATALI[[#This Row],[//]]-2))</f>
        <v>288</v>
      </c>
      <c r="M230" s="6" t="str">
        <f ca="1">IF(ATALI[[#This Row],[//]]="","",INDEX([6]!NOTA[STN],ATALI[[#This Row],[//]]-2))</f>
        <v>PCS</v>
      </c>
      <c r="N230" s="5">
        <f ca="1">IF(ATALI[[#This Row],[//]]="","",INDEX([6]!NOTA[HARGA SATUAN],ATALI[[#This Row],[//]]-2))</f>
        <v>4100</v>
      </c>
      <c r="O230" s="8">
        <f ca="1">IF(ATALI[[#This Row],[//]]="","",INDEX([6]!NOTA[DISC 1],ATALI[[#This Row],[//]]-2))</f>
        <v>0.125</v>
      </c>
      <c r="P230" s="8">
        <f ca="1">IF(ATALI[[#This Row],[//]]="","",INDEX([6]!NOTA[DISC 2],ATALI[[#This Row],[//]]-2))</f>
        <v>0.05</v>
      </c>
      <c r="Q230" s="5">
        <f ca="1">IF(ATALI[[#This Row],[//]]="","",INDEX([6]!NOTA[TOTAL],ATALI[[#This Row],[//]]-2))</f>
        <v>981540</v>
      </c>
      <c r="R2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Row],[//]]="","",INDEX([6]!NOTA[NAMA BARANG],ATALI[[#This Row],[//]]-2))</f>
        <v>SCISSOR SC-828 JK</v>
      </c>
      <c r="V230" s="4" t="str">
        <f ca="1">LOWER(SUBSTITUTE(SUBSTITUTE(SUBSTITUTE(SUBSTITUTE(SUBSTITUTE(SUBSTITUTE(SUBSTITUTE(ATALI[[#This Row],[N.B.nota]]," ",""),"-",""),"(",""),")",""),".",""),",",""),"/",""))</f>
        <v>scissorsc828jk</v>
      </c>
      <c r="W230" s="4" t="s">
        <v>137</v>
      </c>
      <c r="X230" s="4" t="str">
        <f ca="1">IF(ATALI[[#This Row],[N.B.nota]]="","",ADDRESS(ROW(ATALI[QB]),COLUMN(ATALI[QB]))&amp;":"&amp;ADDRESS(ROW(),COLUMN(ATALI[QB])))</f>
        <v>$D$3:$D$230</v>
      </c>
      <c r="Y230" s="14" t="str">
        <f ca="1">IF(ATALI[[#This Row],[//]]="","",HYPERLINK("[../DB.xlsx]DB!e"&amp;MATCH(ATALI[[#This Row],[concat]],[4]!db[NB NOTA_C],0)+1,"&gt;"))</f>
        <v>&gt;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NOTA]]="","",HYPERLINK("[NOTA_.xlsx]NOTA!e"&amp;INDEX([6]!PAJAK[//],MATCH(ATALI[[#This Row],[ID NOTA]],[6]!PAJAK[ID],0)),"&gt;") )</f>
        <v/>
      </c>
      <c r="D231" s="6" t="str">
        <f>IF(ATALI[[#This Row],[ID NOTA]]="","",INDEX(Table1[QB],MATCH(ATALI[[#This Row],[ID NOTA]],Table1[ID],0)))</f>
        <v/>
      </c>
      <c r="E2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896</v>
      </c>
      <c r="F231" s="6"/>
      <c r="G231" s="3" t="str">
        <f>IF(ATALI[[#This Row],[ID NOTA]]="","",INDEX([6]!NOTA[TGL_H],MATCH(ATALI[[#This Row],[ID NOTA]],[6]!NOTA[ID],0)))</f>
        <v/>
      </c>
      <c r="H231" s="3" t="str">
        <f>IF(ATALI[[#This Row],[ID NOTA]]="","",INDEX([6]!NOTA[TGL.NOTA],MATCH(ATALI[[#This Row],[ID NOTA]],[6]!NOTA[ID],0)))</f>
        <v/>
      </c>
      <c r="I231" s="4" t="str">
        <f>IF(ATALI[[#This Row],[ID NOTA]]="","",INDEX([6]!NOTA[NO.NOTA],MATCH(ATALI[[#This Row],[ID NOTA]],[6]!NOTA[ID],0)))</f>
        <v/>
      </c>
      <c r="J231" s="4" t="s">
        <v>257</v>
      </c>
      <c r="K231" s="6">
        <f ca="1">IF(ATALI[[#This Row],[//]]="","",IF(INDEX([6]!NOTA[C],ATALI[[#This Row],[//]]-2)="","",INDEX([6]!NOTA[C],ATALI[[#This Row],[//]]-2)))</f>
        <v>2</v>
      </c>
      <c r="L231" s="6">
        <f ca="1">IF(ATALI[[#This Row],[//]]="","",INDEX([6]!NOTA[QTY],ATALI[[#This Row],[//]]-2))</f>
        <v>288</v>
      </c>
      <c r="M231" s="6" t="str">
        <f ca="1">IF(ATALI[[#This Row],[//]]="","",INDEX([6]!NOTA[STN],ATALI[[#This Row],[//]]-2))</f>
        <v>PCS</v>
      </c>
      <c r="N231" s="5">
        <f ca="1">IF(ATALI[[#This Row],[//]]="","",INDEX([6]!NOTA[HARGA SATUAN],ATALI[[#This Row],[//]]-2))</f>
        <v>6300</v>
      </c>
      <c r="O231" s="8">
        <f ca="1">IF(ATALI[[#This Row],[//]]="","",INDEX([6]!NOTA[DISC 1],ATALI[[#This Row],[//]]-2))</f>
        <v>0.125</v>
      </c>
      <c r="P231" s="8">
        <f ca="1">IF(ATALI[[#This Row],[//]]="","",INDEX([6]!NOTA[DISC 2],ATALI[[#This Row],[//]]-2))</f>
        <v>0.05</v>
      </c>
      <c r="Q231" s="5">
        <f ca="1">IF(ATALI[[#This Row],[//]]="","",INDEX([6]!NOTA[TOTAL],ATALI[[#This Row],[//]]-2))</f>
        <v>1508220</v>
      </c>
      <c r="R2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4" t="str">
        <f ca="1">IF(ATALI[[#This Row],[//]]="","",INDEX([6]!NOTA[NAMA BARANG],ATALI[[#This Row],[//]]-2))</f>
        <v>SCISSOR SC-838 JK</v>
      </c>
      <c r="V231" s="4" t="str">
        <f ca="1">LOWER(SUBSTITUTE(SUBSTITUTE(SUBSTITUTE(SUBSTITUTE(SUBSTITUTE(SUBSTITUTE(SUBSTITUTE(ATALI[[#This Row],[N.B.nota]]," ",""),"-",""),"(",""),")",""),".",""),",",""),"/",""))</f>
        <v>scissorsc838jk</v>
      </c>
      <c r="W231" s="4" t="s">
        <v>137</v>
      </c>
      <c r="X231" s="4" t="str">
        <f ca="1">IF(ATALI[[#This Row],[N.B.nota]]="","",ADDRESS(ROW(ATALI[QB]),COLUMN(ATALI[QB]))&amp;":"&amp;ADDRESS(ROW(),COLUMN(ATALI[QB])))</f>
        <v>$D$3:$D$231</v>
      </c>
      <c r="Y231" s="14" t="str">
        <f ca="1">IF(ATALI[[#This Row],[//]]="","",HYPERLINK("[../DB.xlsx]DB!e"&amp;MATCH(ATALI[[#This Row],[concat]],[4]!db[NB NOTA_C],0)+1,"&gt;"))</f>
        <v>&gt;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NOTA]]="","",HYPERLINK("[NOTA_.xlsx]NOTA!e"&amp;INDEX([6]!PAJAK[//],MATCH(ATALI[[#This Row],[ID NOTA]],[6]!PAJAK[ID],0)),"&gt;") )</f>
        <v/>
      </c>
      <c r="D232" s="6" t="str">
        <f>IF(ATALI[[#This Row],[ID NOTA]]="","",INDEX(Table1[QB],MATCH(ATALI[[#This Row],[ID NOTA]],Table1[ID],0)))</f>
        <v/>
      </c>
      <c r="E2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897</v>
      </c>
      <c r="F232" s="6"/>
      <c r="G232" s="3" t="str">
        <f>IF(ATALI[[#This Row],[ID NOTA]]="","",INDEX([6]!NOTA[TGL_H],MATCH(ATALI[[#This Row],[ID NOTA]],[6]!NOTA[ID],0)))</f>
        <v/>
      </c>
      <c r="H232" s="3" t="str">
        <f>IF(ATALI[[#This Row],[ID NOTA]]="","",INDEX([6]!NOTA[TGL.NOTA],MATCH(ATALI[[#This Row],[ID NOTA]],[6]!NOTA[ID],0)))</f>
        <v/>
      </c>
      <c r="I232" s="4" t="str">
        <f>IF(ATALI[[#This Row],[ID NOTA]]="","",INDEX([6]!NOTA[NO.NOTA],MATCH(ATALI[[#This Row],[ID NOTA]],[6]!NOTA[ID],0)))</f>
        <v/>
      </c>
      <c r="J232" s="4" t="s">
        <v>357</v>
      </c>
      <c r="K232" s="6">
        <f ca="1">IF(ATALI[[#This Row],[//]]="","",IF(INDEX([6]!NOTA[C],ATALI[[#This Row],[//]]-2)="","",INDEX([6]!NOTA[C],ATALI[[#This Row],[//]]-2)))</f>
        <v>6</v>
      </c>
      <c r="L232" s="6">
        <f ca="1">IF(ATALI[[#This Row],[//]]="","",INDEX([6]!NOTA[QTY],ATALI[[#This Row],[//]]-2))</f>
        <v>288</v>
      </c>
      <c r="M232" s="6" t="str">
        <f ca="1">IF(ATALI[[#This Row],[//]]="","",INDEX([6]!NOTA[STN],ATALI[[#This Row],[//]]-2))</f>
        <v>DZ</v>
      </c>
      <c r="N232" s="5">
        <f ca="1">IF(ATALI[[#This Row],[//]]="","",INDEX([6]!NOTA[HARGA SATUAN],ATALI[[#This Row],[//]]-2))</f>
        <v>36000</v>
      </c>
      <c r="O232" s="8">
        <f ca="1">IF(ATALI[[#This Row],[//]]="","",INDEX([6]!NOTA[DISC 1],ATALI[[#This Row],[//]]-2))</f>
        <v>0.125</v>
      </c>
      <c r="P232" s="8">
        <f ca="1">IF(ATALI[[#This Row],[//]]="","",INDEX([6]!NOTA[DISC 2],ATALI[[#This Row],[//]]-2))</f>
        <v>0.05</v>
      </c>
      <c r="Q232" s="5">
        <f ca="1">IF(ATALI[[#This Row],[//]]="","",INDEX([6]!NOTA[TOTAL],ATALI[[#This Row],[//]]-2))</f>
        <v>8618400</v>
      </c>
      <c r="R2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Row],[//]]="","",INDEX([6]!NOTA[NAMA BARANG],ATALI[[#This Row],[//]]-2))</f>
        <v>CORRECTION FLUID JK-01 JK</v>
      </c>
      <c r="V232" s="4" t="str">
        <f ca="1">LOWER(SUBSTITUTE(SUBSTITUTE(SUBSTITUTE(SUBSTITUTE(SUBSTITUTE(SUBSTITUTE(SUBSTITUTE(ATALI[[#This Row],[N.B.nota]]," ",""),"-",""),"(",""),")",""),".",""),",",""),"/",""))</f>
        <v>correctionfluidjk01jk</v>
      </c>
      <c r="W232" s="4" t="s">
        <v>137</v>
      </c>
      <c r="X232" s="4" t="str">
        <f ca="1">IF(ATALI[[#This Row],[N.B.nota]]="","",ADDRESS(ROW(ATALI[QB]),COLUMN(ATALI[QB]))&amp;":"&amp;ADDRESS(ROW(),COLUMN(ATALI[QB])))</f>
        <v>$D$3:$D$232</v>
      </c>
      <c r="Y232" s="14" t="str">
        <f ca="1">IF(ATALI[[#This Row],[//]]="","",HYPERLINK("[../DB.xlsx]DB!e"&amp;MATCH(ATALI[[#This Row],[concat]],[4]!db[NB NOTA_C],0)+1,"&gt;"))</f>
        <v>&gt;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NOTA]]="","",HYPERLINK("[NOTA_.xlsx]NOTA!e"&amp;INDEX([6]!PAJAK[//],MATCH(ATALI[[#This Row],[ID NOTA]],[6]!PAJAK[ID],0)),"&gt;") )</f>
        <v/>
      </c>
      <c r="D233" s="6" t="str">
        <f>IF(ATALI[[#This Row],[ID NOTA]]="","",INDEX(Table1[QB],MATCH(ATALI[[#This Row],[ID NOTA]],Table1[ID],0)))</f>
        <v/>
      </c>
      <c r="E2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898</v>
      </c>
      <c r="F233" s="6"/>
      <c r="G233" s="3" t="str">
        <f>IF(ATALI[[#This Row],[ID NOTA]]="","",INDEX([6]!NOTA[TGL_H],MATCH(ATALI[[#This Row],[ID NOTA]],[6]!NOTA[ID],0)))</f>
        <v/>
      </c>
      <c r="H233" s="3" t="str">
        <f>IF(ATALI[[#This Row],[ID NOTA]]="","",INDEX([6]!NOTA[TGL.NOTA],MATCH(ATALI[[#This Row],[ID NOTA]],[6]!NOTA[ID],0)))</f>
        <v/>
      </c>
      <c r="I233" s="4" t="str">
        <f>IF(ATALI[[#This Row],[ID NOTA]]="","",INDEX([6]!NOTA[NO.NOTA],MATCH(ATALI[[#This Row],[ID NOTA]],[6]!NOTA[ID],0)))</f>
        <v/>
      </c>
      <c r="J233" s="4" t="s">
        <v>255</v>
      </c>
      <c r="K233" s="6" t="str">
        <f ca="1">IF(ATALI[[#This Row],[//]]="","",IF(INDEX([6]!NOTA[C],ATALI[[#This Row],[//]]-2)="","",INDEX([6]!NOTA[C],ATALI[[#This Row],[//]]-2)))</f>
        <v/>
      </c>
      <c r="L233" s="6">
        <f ca="1">IF(ATALI[[#This Row],[//]]="","",INDEX([6]!NOTA[QTY],ATALI[[#This Row],[//]]-2))</f>
        <v>36</v>
      </c>
      <c r="M233" s="6" t="str">
        <f ca="1">IF(ATALI[[#This Row],[//]]="","",INDEX([6]!NOTA[STN],ATALI[[#This Row],[//]]-2))</f>
        <v>DZ</v>
      </c>
      <c r="N233" s="5">
        <f ca="1">IF(ATALI[[#This Row],[//]]="","",INDEX([6]!NOTA[HARGA SATUAN],ATALI[[#This Row],[//]]-2))</f>
        <v>12600</v>
      </c>
      <c r="O233" s="8">
        <f ca="1">IF(ATALI[[#This Row],[//]]="","",INDEX([6]!NOTA[DISC 1],ATALI[[#This Row],[//]]-2))</f>
        <v>0.1</v>
      </c>
      <c r="P233" s="8">
        <f ca="1">IF(ATALI[[#This Row],[//]]="","",INDEX([6]!NOTA[DISC 2],ATALI[[#This Row],[//]]-2))</f>
        <v>0.05</v>
      </c>
      <c r="Q233" s="5">
        <f ca="1">IF(ATALI[[#This Row],[//]]="","",INDEX([6]!NOTA[TOTAL],ATALI[[#This Row],[//]]-2))</f>
        <v>387828</v>
      </c>
      <c r="R23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23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37657620</v>
      </c>
      <c r="T233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CORR FLUID JK-101A, JK-101, JK-01)</v>
      </c>
      <c r="U233" s="4" t="str">
        <f ca="1">IF(ATALI[[#This Row],[//]]="","",INDEX([6]!NOTA[NAMA BARANG],ATALI[[#This Row],[//]]-2))</f>
        <v>BALLPEN BP-338 VOCUS (BLACK) JK</v>
      </c>
      <c r="V233" s="4" t="str">
        <f ca="1">LOWER(SUBSTITUTE(SUBSTITUTE(SUBSTITUTE(SUBSTITUTE(SUBSTITUTE(SUBSTITUTE(SUBSTITUTE(ATALI[[#This Row],[N.B.nota]]," ",""),"-",""),"(",""),")",""),".",""),",",""),"/",""))</f>
        <v>ballpenbp338vocusblackjk</v>
      </c>
      <c r="W233" s="4" t="s">
        <v>137</v>
      </c>
      <c r="X233" s="4" t="str">
        <f ca="1">IF(ATALI[[#This Row],[N.B.nota]]="","",ADDRESS(ROW(ATALI[QB]),COLUMN(ATALI[QB]))&amp;":"&amp;ADDRESS(ROW(),COLUMN(ATALI[QB])))</f>
        <v>$D$3:$D$233</v>
      </c>
      <c r="Y233" s="14" t="str">
        <f ca="1">IF(ATALI[[#This Row],[//]]="","",HYPERLINK("[../DB.xlsx]DB!e"&amp;MATCH(ATALI[[#This Row],[concat]],[4]!db[NB NOTA_C],0)+1,"&gt;"))</f>
        <v>&gt;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NOTA]]="","",HYPERLINK("[NOTA_.xlsx]NOTA!e"&amp;INDEX([6]!PAJAK[//],MATCH(ATALI[[#This Row],[ID NOTA]],[6]!PAJAK[ID],0)),"&gt;")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4" s="6"/>
      <c r="G234" s="3" t="str">
        <f>IF(ATALI[[#This Row],[ID NOTA]]="","",INDEX([6]!NOTA[TGL_H],MATCH(ATALI[[#This Row],[ID NOTA]],[6]!NOTA[ID],0)))</f>
        <v/>
      </c>
      <c r="H234" s="3" t="str">
        <f>IF(ATALI[[#This Row],[ID NOTA]]="","",INDEX([6]!NOTA[TGL.NOTA],MATCH(ATALI[[#This Row],[ID NOTA]],[6]!NOTA[ID],0)))</f>
        <v/>
      </c>
      <c r="I234" s="4" t="str">
        <f>IF(ATALI[[#This Row],[ID NOTA]]="","",INDEX([6]!NOTA[NO.NOTA],MATCH(ATALI[[#This Row],[ID NOTA]],[6]!NOTA[ID],0)))</f>
        <v/>
      </c>
      <c r="J234" s="4" t="s">
        <v>136</v>
      </c>
      <c r="K234" s="6" t="str">
        <f ca="1">IF(ATALI[[#This Row],[//]]="","",IF(INDEX([6]!NOTA[C],ATALI[[#This Row],[//]]-2)="","",INDEX([6]!NOTA[C],ATALI[[#This Row],[//]]-2)))</f>
        <v/>
      </c>
      <c r="L234" s="6" t="str">
        <f ca="1">IF(ATALI[[#This Row],[//]]="","",INDEX([6]!NOTA[QTY],ATALI[[#This Row],[//]]-2))</f>
        <v/>
      </c>
      <c r="M234" s="6" t="str">
        <f ca="1">IF(ATALI[[#This Row],[//]]="","",INDEX([6]!NOTA[STN],ATALI[[#This Row],[//]]-2))</f>
        <v/>
      </c>
      <c r="N234" s="5" t="str">
        <f ca="1">IF(ATALI[[#This Row],[//]]="","",INDEX([6]!NOTA[HARGA SATUAN],ATALI[[#This Row],[//]]-2))</f>
        <v/>
      </c>
      <c r="O234" s="8" t="str">
        <f ca="1">IF(ATALI[[#This Row],[//]]="","",INDEX([6]!NOTA[DISC 1],ATALI[[#This Row],[//]]-2))</f>
        <v/>
      </c>
      <c r="P234" s="8" t="str">
        <f ca="1">IF(ATALI[[#This Row],[//]]="","",INDEX([6]!NOTA[DISC 2],ATALI[[#This Row],[//]]-2))</f>
        <v/>
      </c>
      <c r="Q234" s="5" t="str">
        <f ca="1">IF(ATALI[[#This Row],[//]]="","",INDEX([6]!NOTA[TOTAL],ATALI[[#This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Row],[//]]="","",INDEX([6]!NOTA[NAMA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">
        <v>136</v>
      </c>
      <c r="X234" s="4" t="str">
        <f ca="1">IF(ATALI[[#This Row],[N.B.nota]]="","",ADDRESS(ROW(ATALI[QB]),COLUMN(ATALI[QB]))&amp;":"&amp;ADDRESS(ROW(),COLUMN(ATALI[QB])))</f>
        <v/>
      </c>
      <c r="Y234" s="14" t="str">
        <f ca="1">IF(ATALI[[#This Row],[//]]="","",HYPERLINK("[../DB.xlsx]DB!e"&amp;MATCH(ATALI[[#This Row],[concat]],[4]!db[NB NOTA_C],0)+1,"&gt;"))</f>
        <v/>
      </c>
    </row>
    <row r="235" spans="1:25" x14ac:dyDescent="0.25">
      <c r="A235" s="4" t="s">
        <v>130</v>
      </c>
      <c r="B235" s="6">
        <f ca="1">IF(ATALI[[#This Row],[N_ID]]="","",INDEX(Table1[ID],MATCH(ATALI[[#This Row],[N_ID]],Table1[N_ID],0)))</f>
        <v>176</v>
      </c>
      <c r="C235" s="6" t="str">
        <f ca="1">IF(ATALI[[#This Row],[ID NOTA]]="","",HYPERLINK("[NOTA_.xlsx]NOTA!e"&amp;INDEX([6]!PAJAK[//],MATCH(ATALI[[#This Row],[ID NOTA]],[6]!PAJAK[ID],0)),"&gt;") )</f>
        <v>&gt;</v>
      </c>
      <c r="D235" s="6">
        <f ca="1">IF(ATALI[[#This Row],[ID NOTA]]="","",INDEX(Table1[QB],MATCH(ATALI[[#This Row],[ID NOTA]],Table1[ID],0)))</f>
        <v>7</v>
      </c>
      <c r="E2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935</v>
      </c>
      <c r="F235" s="6"/>
      <c r="G235" s="3">
        <f ca="1">IF(ATALI[[#This Row],[ID NOTA]]="","",INDEX([6]!NOTA[TGL_H],MATCH(ATALI[[#This Row],[ID NOTA]],[6]!NOTA[ID],0)))</f>
        <v>44775</v>
      </c>
      <c r="H235" s="3">
        <f ca="1">IF(ATALI[[#This Row],[ID NOTA]]="","",INDEX([6]!NOTA[TGL.NOTA],MATCH(ATALI[[#This Row],[ID NOTA]],[6]!NOTA[ID],0)))</f>
        <v>44769</v>
      </c>
      <c r="I235" s="4" t="str">
        <f ca="1">IF(ATALI[[#This Row],[ID NOTA]]="","",INDEX([6]!NOTA[NO.NOTA],MATCH(ATALI[[#This Row],[ID NOTA]],[6]!NOTA[ID],0)))</f>
        <v>SA220711139</v>
      </c>
      <c r="J235" s="4" t="s">
        <v>268</v>
      </c>
      <c r="K235" s="6">
        <f ca="1">IF(ATALI[[#This Row],[//]]="","",IF(INDEX([6]!NOTA[C],ATALI[[#This Row],[//]]-2)="","",INDEX([6]!NOTA[C],ATALI[[#This Row],[//]]-2)))</f>
        <v>8</v>
      </c>
      <c r="L235" s="6">
        <f ca="1">IF(ATALI[[#This Row],[//]]="","",INDEX([6]!NOTA[QTY],ATALI[[#This Row],[//]]-2))</f>
        <v>1152</v>
      </c>
      <c r="M235" s="6" t="str">
        <f ca="1">IF(ATALI[[#This Row],[//]]="","",INDEX([6]!NOTA[STN],ATALI[[#This Row],[//]]-2))</f>
        <v>SET</v>
      </c>
      <c r="N235" s="5">
        <f ca="1">IF(ATALI[[#This Row],[//]]="","",INDEX([6]!NOTA[HARGA SATUAN],ATALI[[#This Row],[//]]-2))</f>
        <v>11900</v>
      </c>
      <c r="O235" s="8">
        <f ca="1">IF(ATALI[[#This Row],[//]]="","",INDEX([6]!NOTA[DISC 1],ATALI[[#This Row],[//]]-2))</f>
        <v>0.125</v>
      </c>
      <c r="P235" s="8">
        <f ca="1">IF(ATALI[[#This Row],[//]]="","",INDEX([6]!NOTA[DISC 2],ATALI[[#This Row],[//]]-2))</f>
        <v>0.05</v>
      </c>
      <c r="Q235" s="5">
        <f ca="1">IF(ATALI[[#This Row],[//]]="","",INDEX([6]!NOTA[TOTAL],ATALI[[#This Row],[//]]-2))</f>
        <v>11395440</v>
      </c>
      <c r="R2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Row],[//]]="","",INDEX([6]!NOTA[NAMA BARANG],ATALI[[#This Row],[//]]-2))</f>
        <v>OIL PASTEL OP-12S PP CASE SEA WORLD JK</v>
      </c>
      <c r="V235" s="4" t="str">
        <f ca="1">LOWER(SUBSTITUTE(SUBSTITUTE(SUBSTITUTE(SUBSTITUTE(SUBSTITUTE(SUBSTITUTE(SUBSTITUTE(ATALI[[#This Row],[N.B.nota]]," ",""),"-",""),"(",""),")",""),".",""),",",""),"/",""))</f>
        <v>oilpastelop12sppcaseseaworldjk</v>
      </c>
      <c r="W235" s="4" t="s">
        <v>137</v>
      </c>
      <c r="X235" s="4" t="str">
        <f ca="1">IF(ATALI[[#This Row],[N.B.nota]]="","",ADDRESS(ROW(ATALI[QB]),COLUMN(ATALI[QB]))&amp;":"&amp;ADDRESS(ROW(),COLUMN(ATALI[QB])))</f>
        <v>$D$3:$D$235</v>
      </c>
      <c r="Y235" s="14" t="str">
        <f ca="1">IF(ATALI[[#This Row],[//]]="","",HYPERLINK("[../DB.xlsx]DB!e"&amp;MATCH(ATALI[[#This Row],[concat]],[4]!db[NB NOTA_C],0)+1,"&gt;"))</f>
        <v>&gt;</v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NOTA]]="","",HYPERLINK("[NOTA_.xlsx]NOTA!e"&amp;INDEX([6]!PAJAK[//],MATCH(ATALI[[#This Row],[ID NOTA]],[6]!PAJAK[ID],0)),"&gt;") )</f>
        <v/>
      </c>
      <c r="D236" s="6" t="str">
        <f>IF(ATALI[[#This Row],[ID NOTA]]="","",INDEX(Table1[QB],MATCH(ATALI[[#This Row],[ID NOTA]],Table1[ID],0)))</f>
        <v/>
      </c>
      <c r="E2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936</v>
      </c>
      <c r="F236" s="6"/>
      <c r="G236" s="3" t="str">
        <f>IF(ATALI[[#This Row],[ID NOTA]]="","",INDEX([6]!NOTA[TGL_H],MATCH(ATALI[[#This Row],[ID NOTA]],[6]!NOTA[ID],0)))</f>
        <v/>
      </c>
      <c r="H236" s="3" t="str">
        <f>IF(ATALI[[#This Row],[ID NOTA]]="","",INDEX([6]!NOTA[TGL.NOTA],MATCH(ATALI[[#This Row],[ID NOTA]],[6]!NOTA[ID],0)))</f>
        <v/>
      </c>
      <c r="I236" s="4" t="str">
        <f>IF(ATALI[[#This Row],[ID NOTA]]="","",INDEX([6]!NOTA[NO.NOTA],MATCH(ATALI[[#This Row],[ID NOTA]],[6]!NOTA[ID],0)))</f>
        <v/>
      </c>
      <c r="J236" s="4" t="s">
        <v>269</v>
      </c>
      <c r="K236" s="6">
        <f ca="1">IF(ATALI[[#This Row],[//]]="","",IF(INDEX([6]!NOTA[C],ATALI[[#This Row],[//]]-2)="","",INDEX([6]!NOTA[C],ATALI[[#This Row],[//]]-2)))</f>
        <v>3</v>
      </c>
      <c r="L236" s="6">
        <f ca="1">IF(ATALI[[#This Row],[//]]="","",INDEX([6]!NOTA[QTY],ATALI[[#This Row],[//]]-2))</f>
        <v>216</v>
      </c>
      <c r="M236" s="6" t="str">
        <f ca="1">IF(ATALI[[#This Row],[//]]="","",INDEX([6]!NOTA[STN],ATALI[[#This Row],[//]]-2))</f>
        <v>SET</v>
      </c>
      <c r="N236" s="5">
        <f ca="1">IF(ATALI[[#This Row],[//]]="","",INDEX([6]!NOTA[HARGA SATUAN],ATALI[[#This Row],[//]]-2))</f>
        <v>23000</v>
      </c>
      <c r="O236" s="8">
        <f ca="1">IF(ATALI[[#This Row],[//]]="","",INDEX([6]!NOTA[DISC 1],ATALI[[#This Row],[//]]-2))</f>
        <v>0.125</v>
      </c>
      <c r="P236" s="8">
        <f ca="1">IF(ATALI[[#This Row],[//]]="","",INDEX([6]!NOTA[DISC 2],ATALI[[#This Row],[//]]-2))</f>
        <v>0.05</v>
      </c>
      <c r="Q236" s="5">
        <f ca="1">IF(ATALI[[#This Row],[//]]="","",INDEX([6]!NOTA[TOTAL],ATALI[[#This Row],[//]]-2))</f>
        <v>4129650</v>
      </c>
      <c r="R2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Row],[//]]="","",INDEX([6]!NOTA[NAMA BARANG],ATALI[[#This Row],[//]]-2))</f>
        <v>OIL PASTEL OP-18S PP CASE SEA WORLD JK</v>
      </c>
      <c r="V236" s="4" t="str">
        <f ca="1">LOWER(SUBSTITUTE(SUBSTITUTE(SUBSTITUTE(SUBSTITUTE(SUBSTITUTE(SUBSTITUTE(SUBSTITUTE(ATALI[[#This Row],[N.B.nota]]," ",""),"-",""),"(",""),")",""),".",""),",",""),"/",""))</f>
        <v>oilpastelop18sppcaseseaworldjk</v>
      </c>
      <c r="W236" s="4" t="s">
        <v>137</v>
      </c>
      <c r="X236" s="4" t="str">
        <f ca="1">IF(ATALI[[#This Row],[N.B.nota]]="","",ADDRESS(ROW(ATALI[QB]),COLUMN(ATALI[QB]))&amp;":"&amp;ADDRESS(ROW(),COLUMN(ATALI[QB])))</f>
        <v>$D$3:$D$236</v>
      </c>
      <c r="Y236" s="14" t="str">
        <f ca="1">IF(ATALI[[#This Row],[//]]="","",HYPERLINK("[../DB.xlsx]DB!e"&amp;MATCH(ATALI[[#This Row],[concat]],[4]!db[NB NOTA_C],0)+1,"&gt;"))</f>
        <v>&gt;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NOTA]]="","",HYPERLINK("[NOTA_.xlsx]NOTA!e"&amp;INDEX([6]!PAJAK[//],MATCH(ATALI[[#This Row],[ID NOTA]],[6]!PAJAK[ID],0)),"&gt;") )</f>
        <v/>
      </c>
      <c r="D237" s="6" t="str">
        <f>IF(ATALI[[#This Row],[ID NOTA]]="","",INDEX(Table1[QB],MATCH(ATALI[[#This Row],[ID NOTA]],Table1[ID],0)))</f>
        <v/>
      </c>
      <c r="E2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937</v>
      </c>
      <c r="F237" s="6"/>
      <c r="G237" s="3" t="str">
        <f>IF(ATALI[[#This Row],[ID NOTA]]="","",INDEX([6]!NOTA[TGL_H],MATCH(ATALI[[#This Row],[ID NOTA]],[6]!NOTA[ID],0)))</f>
        <v/>
      </c>
      <c r="H237" s="3" t="str">
        <f>IF(ATALI[[#This Row],[ID NOTA]]="","",INDEX([6]!NOTA[TGL.NOTA],MATCH(ATALI[[#This Row],[ID NOTA]],[6]!NOTA[ID],0)))</f>
        <v/>
      </c>
      <c r="I237" s="4" t="str">
        <f>IF(ATALI[[#This Row],[ID NOTA]]="","",INDEX([6]!NOTA[NO.NOTA],MATCH(ATALI[[#This Row],[ID NOTA]],[6]!NOTA[ID],0)))</f>
        <v/>
      </c>
      <c r="J237" s="4" t="s">
        <v>270</v>
      </c>
      <c r="K237" s="6">
        <f ca="1">IF(ATALI[[#This Row],[//]]="","",IF(INDEX([6]!NOTA[C],ATALI[[#This Row],[//]]-2)="","",INDEX([6]!NOTA[C],ATALI[[#This Row],[//]]-2)))</f>
        <v>8</v>
      </c>
      <c r="L237" s="6">
        <f ca="1">IF(ATALI[[#This Row],[//]]="","",INDEX([6]!NOTA[QTY],ATALI[[#This Row],[//]]-2))</f>
        <v>384</v>
      </c>
      <c r="M237" s="6" t="str">
        <f ca="1">IF(ATALI[[#This Row],[//]]="","",INDEX([6]!NOTA[STN],ATALI[[#This Row],[//]]-2))</f>
        <v>SET</v>
      </c>
      <c r="N237" s="5">
        <f ca="1">IF(ATALI[[#This Row],[//]]="","",INDEX([6]!NOTA[HARGA SATUAN],ATALI[[#This Row],[//]]-2))</f>
        <v>28700</v>
      </c>
      <c r="O237" s="8">
        <f ca="1">IF(ATALI[[#This Row],[//]]="","",INDEX([6]!NOTA[DISC 1],ATALI[[#This Row],[//]]-2))</f>
        <v>0.125</v>
      </c>
      <c r="P237" s="8">
        <f ca="1">IF(ATALI[[#This Row],[//]]="","",INDEX([6]!NOTA[DISC 2],ATALI[[#This Row],[//]]-2))</f>
        <v>0.05</v>
      </c>
      <c r="Q237" s="5">
        <f ca="1">IF(ATALI[[#This Row],[//]]="","",INDEX([6]!NOTA[TOTAL],ATALI[[#This Row],[//]]-2))</f>
        <v>9161040</v>
      </c>
      <c r="R2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Row],[//]]="","",INDEX([6]!NOTA[NAMA BARANG],ATALI[[#This Row],[//]]-2))</f>
        <v>OIL PASTEL OP-24S PP CASE SEA WORLD JK</v>
      </c>
      <c r="V23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37" s="4" t="s">
        <v>137</v>
      </c>
      <c r="X237" s="4" t="str">
        <f ca="1">IF(ATALI[[#This Row],[N.B.nota]]="","",ADDRESS(ROW(ATALI[QB]),COLUMN(ATALI[QB]))&amp;":"&amp;ADDRESS(ROW(),COLUMN(ATALI[QB])))</f>
        <v>$D$3:$D$237</v>
      </c>
      <c r="Y237" s="14" t="str">
        <f ca="1">IF(ATALI[[#This Row],[//]]="","",HYPERLINK("[../DB.xlsx]DB!e"&amp;MATCH(ATALI[[#This Row],[concat]],[4]!db[NB NOTA_C],0)+1,"&gt;"))</f>
        <v>&gt;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NOTA]]="","",HYPERLINK("[NOTA_.xlsx]NOTA!e"&amp;INDEX([6]!PAJAK[//],MATCH(ATALI[[#This Row],[ID NOTA]],[6]!PAJAK[ID],0)),"&gt;") )</f>
        <v/>
      </c>
      <c r="D238" s="6" t="str">
        <f>IF(ATALI[[#This Row],[ID NOTA]]="","",INDEX(Table1[QB],MATCH(ATALI[[#This Row],[ID NOTA]],Table1[ID],0)))</f>
        <v/>
      </c>
      <c r="E2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938</v>
      </c>
      <c r="F238" s="6"/>
      <c r="G238" s="3" t="str">
        <f>IF(ATALI[[#This Row],[ID NOTA]]="","",INDEX([6]!NOTA[TGL_H],MATCH(ATALI[[#This Row],[ID NOTA]],[6]!NOTA[ID],0)))</f>
        <v/>
      </c>
      <c r="H238" s="3" t="str">
        <f>IF(ATALI[[#This Row],[ID NOTA]]="","",INDEX([6]!NOTA[TGL.NOTA],MATCH(ATALI[[#This Row],[ID NOTA]],[6]!NOTA[ID],0)))</f>
        <v/>
      </c>
      <c r="I238" s="4" t="str">
        <f>IF(ATALI[[#This Row],[ID NOTA]]="","",INDEX([6]!NOTA[NO.NOTA],MATCH(ATALI[[#This Row],[ID NOTA]],[6]!NOTA[ID],0)))</f>
        <v/>
      </c>
      <c r="J238" s="4" t="s">
        <v>306</v>
      </c>
      <c r="K238" s="6">
        <f ca="1">IF(ATALI[[#This Row],[//]]="","",IF(INDEX([6]!NOTA[C],ATALI[[#This Row],[//]]-2)="","",INDEX([6]!NOTA[C],ATALI[[#This Row],[//]]-2)))</f>
        <v>4</v>
      </c>
      <c r="L238" s="6">
        <f ca="1">IF(ATALI[[#This Row],[//]]="","",INDEX([6]!NOTA[QTY],ATALI[[#This Row],[//]]-2))</f>
        <v>144</v>
      </c>
      <c r="M238" s="6" t="str">
        <f ca="1">IF(ATALI[[#This Row],[//]]="","",INDEX([6]!NOTA[STN],ATALI[[#This Row],[//]]-2))</f>
        <v>SET</v>
      </c>
      <c r="N238" s="5">
        <f ca="1">IF(ATALI[[#This Row],[//]]="","",INDEX([6]!NOTA[HARGA SATUAN],ATALI[[#This Row],[//]]-2))</f>
        <v>41500</v>
      </c>
      <c r="O238" s="8">
        <f ca="1">IF(ATALI[[#This Row],[//]]="","",INDEX([6]!NOTA[DISC 1],ATALI[[#This Row],[//]]-2))</f>
        <v>0.125</v>
      </c>
      <c r="P238" s="8">
        <f ca="1">IF(ATALI[[#This Row],[//]]="","",INDEX([6]!NOTA[DISC 2],ATALI[[#This Row],[//]]-2))</f>
        <v>0.05</v>
      </c>
      <c r="Q238" s="5">
        <f ca="1">IF(ATALI[[#This Row],[//]]="","",INDEX([6]!NOTA[TOTAL],ATALI[[#This Row],[//]]-2))</f>
        <v>4967550</v>
      </c>
      <c r="R2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Row],[//]]="","",INDEX([6]!NOTA[NAMA BARANG],ATALI[[#This Row],[//]]-2))</f>
        <v>OIL PASTEL OP-36S PP CASE SEA WORLD JK</v>
      </c>
      <c r="V238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38" s="4" t="s">
        <v>137</v>
      </c>
      <c r="X238" s="4" t="str">
        <f ca="1">IF(ATALI[[#This Row],[N.B.nota]]="","",ADDRESS(ROW(ATALI[QB]),COLUMN(ATALI[QB]))&amp;":"&amp;ADDRESS(ROW(),COLUMN(ATALI[QB])))</f>
        <v>$D$3:$D$238</v>
      </c>
      <c r="Y238" s="14" t="str">
        <f ca="1">IF(ATALI[[#This Row],[//]]="","",HYPERLINK("[../DB.xlsx]DB!e"&amp;MATCH(ATALI[[#This Row],[concat]],[4]!db[NB NOTA_C],0)+1,"&gt;"))</f>
        <v>&gt;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NOTA]]="","",HYPERLINK("[NOTA_.xlsx]NOTA!e"&amp;INDEX([6]!PAJAK[//],MATCH(ATALI[[#This Row],[ID NOTA]],[6]!PAJAK[ID],0)),"&gt;") )</f>
        <v/>
      </c>
      <c r="D239" s="6" t="str">
        <f>IF(ATALI[[#This Row],[ID NOTA]]="","",INDEX(Table1[QB],MATCH(ATALI[[#This Row],[ID NOTA]],Table1[ID],0)))</f>
        <v/>
      </c>
      <c r="E2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939</v>
      </c>
      <c r="F239" s="6"/>
      <c r="G239" s="3" t="str">
        <f>IF(ATALI[[#This Row],[ID NOTA]]="","",INDEX([6]!NOTA[TGL_H],MATCH(ATALI[[#This Row],[ID NOTA]],[6]!NOTA[ID],0)))</f>
        <v/>
      </c>
      <c r="H239" s="3" t="str">
        <f>IF(ATALI[[#This Row],[ID NOTA]]="","",INDEX([6]!NOTA[TGL.NOTA],MATCH(ATALI[[#This Row],[ID NOTA]],[6]!NOTA[ID],0)))</f>
        <v/>
      </c>
      <c r="I239" s="4" t="str">
        <f>IF(ATALI[[#This Row],[ID NOTA]]="","",INDEX([6]!NOTA[NO.NOTA],MATCH(ATALI[[#This Row],[ID NOTA]],[6]!NOTA[ID],0)))</f>
        <v/>
      </c>
      <c r="J239" s="4" t="s">
        <v>271</v>
      </c>
      <c r="K239" s="6">
        <f ca="1">IF(ATALI[[#This Row],[//]]="","",IF(INDEX([6]!NOTA[C],ATALI[[#This Row],[//]]-2)="","",INDEX([6]!NOTA[C],ATALI[[#This Row],[//]]-2)))</f>
        <v>1</v>
      </c>
      <c r="L239" s="6">
        <f ca="1">IF(ATALI[[#This Row],[//]]="","",INDEX([6]!NOTA[QTY],ATALI[[#This Row],[//]]-2))</f>
        <v>24</v>
      </c>
      <c r="M239" s="6" t="str">
        <f ca="1">IF(ATALI[[#This Row],[//]]="","",INDEX([6]!NOTA[STN],ATALI[[#This Row],[//]]-2))</f>
        <v>SET</v>
      </c>
      <c r="N239" s="5">
        <f ca="1">IF(ATALI[[#This Row],[//]]="","",INDEX([6]!NOTA[HARGA SATUAN],ATALI[[#This Row],[//]]-2))</f>
        <v>58900</v>
      </c>
      <c r="O239" s="8">
        <f ca="1">IF(ATALI[[#This Row],[//]]="","",INDEX([6]!NOTA[DISC 1],ATALI[[#This Row],[//]]-2))</f>
        <v>0.125</v>
      </c>
      <c r="P239" s="8">
        <f ca="1">IF(ATALI[[#This Row],[//]]="","",INDEX([6]!NOTA[DISC 2],ATALI[[#This Row],[//]]-2))</f>
        <v>0.05</v>
      </c>
      <c r="Q239" s="5">
        <f ca="1">IF(ATALI[[#This Row],[//]]="","",INDEX([6]!NOTA[TOTAL],ATALI[[#This Row],[//]]-2))</f>
        <v>1175055</v>
      </c>
      <c r="R2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Row],[//]]="","",INDEX([6]!NOTA[NAMA BARANG],ATALI[[#This Row],[//]]-2))</f>
        <v>OIL PASTEL OP-48S PP CASE SEA WORLD JK</v>
      </c>
      <c r="V239" s="4" t="str">
        <f ca="1">LOWER(SUBSTITUTE(SUBSTITUTE(SUBSTITUTE(SUBSTITUTE(SUBSTITUTE(SUBSTITUTE(SUBSTITUTE(ATALI[[#This Row],[N.B.nota]]," ",""),"-",""),"(",""),")",""),".",""),",",""),"/",""))</f>
        <v>oilpastelop48sppcaseseaworldjk</v>
      </c>
      <c r="W239" s="4" t="s">
        <v>137</v>
      </c>
      <c r="X239" s="4" t="str">
        <f ca="1">IF(ATALI[[#This Row],[N.B.nota]]="","",ADDRESS(ROW(ATALI[QB]),COLUMN(ATALI[QB]))&amp;":"&amp;ADDRESS(ROW(),COLUMN(ATALI[QB])))</f>
        <v>$D$3:$D$239</v>
      </c>
      <c r="Y239" s="14" t="str">
        <f ca="1">IF(ATALI[[#This Row],[//]]="","",HYPERLINK("[../DB.xlsx]DB!e"&amp;MATCH(ATALI[[#This Row],[concat]],[4]!db[NB NOTA_C],0)+1,"&gt;"))</f>
        <v>&gt;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NOTA]]="","",HYPERLINK("[NOTA_.xlsx]NOTA!e"&amp;INDEX([6]!PAJAK[//],MATCH(ATALI[[#This Row],[ID NOTA]],[6]!PAJAK[ID],0)),"&gt;") )</f>
        <v/>
      </c>
      <c r="D240" s="6" t="str">
        <f>IF(ATALI[[#This Row],[ID NOTA]]="","",INDEX(Table1[QB],MATCH(ATALI[[#This Row],[ID NOTA]],Table1[ID],0)))</f>
        <v/>
      </c>
      <c r="E2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940</v>
      </c>
      <c r="F240" s="6"/>
      <c r="G240" s="3" t="str">
        <f>IF(ATALI[[#This Row],[ID NOTA]]="","",INDEX([6]!NOTA[TGL_H],MATCH(ATALI[[#This Row],[ID NOTA]],[6]!NOTA[ID],0)))</f>
        <v/>
      </c>
      <c r="H240" s="3" t="str">
        <f>IF(ATALI[[#This Row],[ID NOTA]]="","",INDEX([6]!NOTA[TGL.NOTA],MATCH(ATALI[[#This Row],[ID NOTA]],[6]!NOTA[ID],0)))</f>
        <v/>
      </c>
      <c r="I240" s="4" t="str">
        <f>IF(ATALI[[#This Row],[ID NOTA]]="","",INDEX([6]!NOTA[NO.NOTA],MATCH(ATALI[[#This Row],[ID NOTA]],[6]!NOTA[ID],0)))</f>
        <v/>
      </c>
      <c r="J240" s="4" t="s">
        <v>254</v>
      </c>
      <c r="K240" s="6">
        <f ca="1">IF(ATALI[[#This Row],[//]]="","",IF(INDEX([6]!NOTA[C],ATALI[[#This Row],[//]]-2)="","",INDEX([6]!NOTA[C],ATALI[[#This Row],[//]]-2)))</f>
        <v>2</v>
      </c>
      <c r="L240" s="6">
        <f ca="1">IF(ATALI[[#This Row],[//]]="","",INDEX([6]!NOTA[QTY],ATALI[[#This Row],[//]]-2))</f>
        <v>48</v>
      </c>
      <c r="M240" s="6" t="str">
        <f ca="1">IF(ATALI[[#This Row],[//]]="","",INDEX([6]!NOTA[STN],ATALI[[#This Row],[//]]-2))</f>
        <v>SET</v>
      </c>
      <c r="N240" s="5">
        <f ca="1">IF(ATALI[[#This Row],[//]]="","",INDEX([6]!NOTA[HARGA SATUAN],ATALI[[#This Row],[//]]-2))</f>
        <v>66900</v>
      </c>
      <c r="O240" s="8">
        <f ca="1">IF(ATALI[[#This Row],[//]]="","",INDEX([6]!NOTA[DISC 1],ATALI[[#This Row],[//]]-2))</f>
        <v>0.125</v>
      </c>
      <c r="P240" s="8">
        <f ca="1">IF(ATALI[[#This Row],[//]]="","",INDEX([6]!NOTA[DISC 2],ATALI[[#This Row],[//]]-2))</f>
        <v>0.05</v>
      </c>
      <c r="Q240" s="5">
        <f ca="1">IF(ATALI[[#This Row],[//]]="","",INDEX([6]!NOTA[TOTAL],ATALI[[#This Row],[//]]-2))</f>
        <v>2669310</v>
      </c>
      <c r="R2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Row],[//]]="","",INDEX([6]!NOTA[NAMA BARANG],ATALI[[#This Row],[//]]-2))</f>
        <v>OIL PASTEL OP-55S PP CASE SEA WORLD JK</v>
      </c>
      <c r="V240" s="4" t="str">
        <f ca="1">LOWER(SUBSTITUTE(SUBSTITUTE(SUBSTITUTE(SUBSTITUTE(SUBSTITUTE(SUBSTITUTE(SUBSTITUTE(ATALI[[#This Row],[N.B.nota]]," ",""),"-",""),"(",""),")",""),".",""),",",""),"/",""))</f>
        <v>oilpastelop55sppcaseseaworldjk</v>
      </c>
      <c r="W240" s="4" t="s">
        <v>137</v>
      </c>
      <c r="X240" s="4" t="str">
        <f ca="1">IF(ATALI[[#This Row],[N.B.nota]]="","",ADDRESS(ROW(ATALI[QB]),COLUMN(ATALI[QB]))&amp;":"&amp;ADDRESS(ROW(),COLUMN(ATALI[QB])))</f>
        <v>$D$3:$D$240</v>
      </c>
      <c r="Y240" s="14" t="str">
        <f ca="1">IF(ATALI[[#This Row],[//]]="","",HYPERLINK("[../DB.xlsx]DB!e"&amp;MATCH(ATALI[[#This Row],[concat]],[4]!db[NB NOTA_C],0)+1,"&gt;"))</f>
        <v>&gt;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NOTA]]="","",HYPERLINK("[NOTA_.xlsx]NOTA!e"&amp;INDEX([6]!PAJAK[//],MATCH(ATALI[[#This Row],[ID NOTA]],[6]!PAJAK[ID],0)),"&gt;") )</f>
        <v/>
      </c>
      <c r="D241" s="6" t="str">
        <f>IF(ATALI[[#This Row],[ID NOTA]]="","",INDEX(Table1[QB],MATCH(ATALI[[#This Row],[ID NOTA]],Table1[ID],0)))</f>
        <v/>
      </c>
      <c r="E2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941</v>
      </c>
      <c r="F241" s="6"/>
      <c r="G241" s="3" t="str">
        <f>IF(ATALI[[#This Row],[ID NOTA]]="","",INDEX([6]!NOTA[TGL_H],MATCH(ATALI[[#This Row],[ID NOTA]],[6]!NOTA[ID],0)))</f>
        <v/>
      </c>
      <c r="H241" s="3" t="str">
        <f>IF(ATALI[[#This Row],[ID NOTA]]="","",INDEX([6]!NOTA[TGL.NOTA],MATCH(ATALI[[#This Row],[ID NOTA]],[6]!NOTA[ID],0)))</f>
        <v/>
      </c>
      <c r="I241" s="4" t="str">
        <f>IF(ATALI[[#This Row],[ID NOTA]]="","",INDEX([6]!NOTA[NO.NOTA],MATCH(ATALI[[#This Row],[ID NOTA]],[6]!NOTA[ID],0)))</f>
        <v/>
      </c>
      <c r="J241" s="4" t="s">
        <v>255</v>
      </c>
      <c r="K241" s="6" t="str">
        <f ca="1">IF(ATALI[[#This Row],[//]]="","",IF(INDEX([6]!NOTA[C],ATALI[[#This Row],[//]]-2)="","",INDEX([6]!NOTA[C],ATALI[[#This Row],[//]]-2)))</f>
        <v/>
      </c>
      <c r="L241" s="6">
        <f ca="1">IF(ATALI[[#This Row],[//]]="","",INDEX([6]!NOTA[QTY],ATALI[[#This Row],[//]]-2))</f>
        <v>156</v>
      </c>
      <c r="M241" s="6" t="str">
        <f ca="1">IF(ATALI[[#This Row],[//]]="","",INDEX([6]!NOTA[STN],ATALI[[#This Row],[//]]-2))</f>
        <v>DZ</v>
      </c>
      <c r="N241" s="5">
        <f ca="1">IF(ATALI[[#This Row],[//]]="","",INDEX([6]!NOTA[HARGA SATUAN],ATALI[[#This Row],[//]]-2))</f>
        <v>12600</v>
      </c>
      <c r="O241" s="8">
        <f ca="1">IF(ATALI[[#This Row],[//]]="","",INDEX([6]!NOTA[DISC 1],ATALI[[#This Row],[//]]-2))</f>
        <v>0.125</v>
      </c>
      <c r="P241" s="8">
        <f ca="1">IF(ATALI[[#This Row],[//]]="","",INDEX([6]!NOTA[DISC 2],ATALI[[#This Row],[//]]-2))</f>
        <v>0.05</v>
      </c>
      <c r="Q241" s="5">
        <f ca="1">IF(ATALI[[#This Row],[//]]="","",INDEX([6]!NOTA[TOTAL],ATALI[[#This Row],[//]]-2))</f>
        <v>1633905</v>
      </c>
      <c r="R24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1633905</v>
      </c>
      <c r="S24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33498045</v>
      </c>
      <c r="T241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241" s="4" t="str">
        <f ca="1">IF(ATALI[[#This Row],[//]]="","",INDEX([6]!NOTA[NAMA BARANG],ATALI[[#This Row],[//]]-2))</f>
        <v>BALLPEN BP-338 VOCUS (BLACK) JK</v>
      </c>
      <c r="V241" s="4" t="str">
        <f ca="1">LOWER(SUBSTITUTE(SUBSTITUTE(SUBSTITUTE(SUBSTITUTE(SUBSTITUTE(SUBSTITUTE(SUBSTITUTE(ATALI[[#This Row],[N.B.nota]]," ",""),"-",""),"(",""),")",""),".",""),",",""),"/",""))</f>
        <v>ballpenbp338vocusblackjk</v>
      </c>
      <c r="W241" s="4" t="s">
        <v>137</v>
      </c>
      <c r="X241" s="4" t="str">
        <f ca="1">IF(ATALI[[#This Row],[N.B.nota]]="","",ADDRESS(ROW(ATALI[QB]),COLUMN(ATALI[QB]))&amp;":"&amp;ADDRESS(ROW(),COLUMN(ATALI[QB])))</f>
        <v>$D$3:$D$241</v>
      </c>
      <c r="Y241" s="14" t="str">
        <f ca="1">IF(ATALI[[#This Row],[//]]="","",HYPERLINK("[../DB.xlsx]DB!e"&amp;MATCH(ATALI[[#This Row],[concat]],[4]!db[NB NOTA_C],0)+1,"&gt;"))</f>
        <v>&gt;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NOTA]]="","",HYPERLINK("[NOTA_.xlsx]NOTA!e"&amp;INDEX([6]!PAJAK[//],MATCH(ATALI[[#This Row],[ID NOTA]],[6]!PAJAK[ID],0)),"&gt;") )</f>
        <v/>
      </c>
      <c r="D242" s="6" t="str">
        <f>IF(ATALI[[#This Row],[ID NOTA]]="","",INDEX(Table1[QB],MATCH(ATALI[[#This Row],[ID NOTA]],Table1[ID],0)))</f>
        <v/>
      </c>
      <c r="E2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2" s="6"/>
      <c r="G242" s="3" t="str">
        <f>IF(ATALI[[#This Row],[ID NOTA]]="","",INDEX([6]!NOTA[TGL_H],MATCH(ATALI[[#This Row],[ID NOTA]],[6]!NOTA[ID],0)))</f>
        <v/>
      </c>
      <c r="H242" s="3" t="str">
        <f>IF(ATALI[[#This Row],[ID NOTA]]="","",INDEX([6]!NOTA[TGL.NOTA],MATCH(ATALI[[#This Row],[ID NOTA]],[6]!NOTA[ID],0)))</f>
        <v/>
      </c>
      <c r="I242" s="4" t="str">
        <f>IF(ATALI[[#This Row],[ID NOTA]]="","",INDEX([6]!NOTA[NO.NOTA],MATCH(ATALI[[#This Row],[ID NOTA]],[6]!NOTA[ID],0)))</f>
        <v/>
      </c>
      <c r="J242" s="4" t="s">
        <v>136</v>
      </c>
      <c r="K242" s="6" t="str">
        <f ca="1">IF(ATALI[[#This Row],[//]]="","",IF(INDEX([6]!NOTA[C],ATALI[[#This Row],[//]]-2)="","",INDEX([6]!NOTA[C],ATALI[[#This Row],[//]]-2)))</f>
        <v/>
      </c>
      <c r="L242" s="6" t="str">
        <f ca="1">IF(ATALI[[#This Row],[//]]="","",INDEX([6]!NOTA[QTY],ATALI[[#This Row],[//]]-2))</f>
        <v/>
      </c>
      <c r="M242" s="6" t="str">
        <f ca="1">IF(ATALI[[#This Row],[//]]="","",INDEX([6]!NOTA[STN],ATALI[[#This Row],[//]]-2))</f>
        <v/>
      </c>
      <c r="N242" s="5" t="str">
        <f ca="1">IF(ATALI[[#This Row],[//]]="","",INDEX([6]!NOTA[HARGA SATUAN],ATALI[[#This Row],[//]]-2))</f>
        <v/>
      </c>
      <c r="O242" s="8" t="str">
        <f ca="1">IF(ATALI[[#This Row],[//]]="","",INDEX([6]!NOTA[DISC 1],ATALI[[#This Row],[//]]-2))</f>
        <v/>
      </c>
      <c r="P242" s="8" t="str">
        <f ca="1">IF(ATALI[[#This Row],[//]]="","",INDEX([6]!NOTA[DISC 2],ATALI[[#This Row],[//]]-2))</f>
        <v/>
      </c>
      <c r="Q242" s="5" t="str">
        <f ca="1">IF(ATALI[[#This Row],[//]]="","",INDEX([6]!NOTA[TOTAL],ATALI[[#This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Row],[//]]="","",INDEX([6]!NOTA[NAMA BARANG],ATALI[[#This Row],[//]]-2))</f>
        <v/>
      </c>
      <c r="V242" s="4" t="str">
        <f ca="1">LOWER(SUBSTITUTE(SUBSTITUTE(SUBSTITUTE(SUBSTITUTE(SUBSTITUTE(SUBSTITUTE(SUBSTITUTE(ATALI[[#This Row],[N.B.nota]]," ",""),"-",""),"(",""),")",""),".",""),",",""),"/",""))</f>
        <v/>
      </c>
      <c r="W242" s="4" t="s">
        <v>136</v>
      </c>
      <c r="X242" s="4" t="str">
        <f ca="1">IF(ATALI[[#This Row],[N.B.nota]]="","",ADDRESS(ROW(ATALI[QB]),COLUMN(ATALI[QB]))&amp;":"&amp;ADDRESS(ROW(),COLUMN(ATALI[QB])))</f>
        <v/>
      </c>
      <c r="Y242" s="14" t="str">
        <f ca="1">IF(ATALI[[#This Row],[//]]="","",HYPERLINK("[../DB.xlsx]DB!e"&amp;MATCH(ATALI[[#This Row],[concat]],[4]!db[NB NOTA_C],0)+1,"&gt;"))</f>
        <v/>
      </c>
    </row>
    <row r="243" spans="1:25" x14ac:dyDescent="0.25">
      <c r="A243" s="4" t="s">
        <v>133</v>
      </c>
      <c r="B243" s="6">
        <f ca="1">IF(ATALI[[#This Row],[N_ID]]="","",INDEX(Table1[ID],MATCH(ATALI[[#This Row],[N_ID]],Table1[N_ID],0)))</f>
        <v>177</v>
      </c>
      <c r="C243" s="6" t="str">
        <f ca="1">IF(ATALI[[#This Row],[ID NOTA]]="","",HYPERLINK("[NOTA_.xlsx]NOTA!e"&amp;INDEX([6]!PAJAK[//],MATCH(ATALI[[#This Row],[ID NOTA]],[6]!PAJAK[ID],0)),"&gt;") )</f>
        <v>&gt;</v>
      </c>
      <c r="D243" s="6">
        <f ca="1">IF(ATALI[[#This Row],[ID NOTA]]="","",INDEX(Table1[QB],MATCH(ATALI[[#This Row],[ID NOTA]],Table1[ID],0)))</f>
        <v>5</v>
      </c>
      <c r="E2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943</v>
      </c>
      <c r="F243" s="6">
        <v>34</v>
      </c>
      <c r="G243" s="3">
        <f ca="1">IF(ATALI[[#This Row],[ID NOTA]]="","",INDEX([6]!NOTA[TGL_H],MATCH(ATALI[[#This Row],[ID NOTA]],[6]!NOTA[ID],0)))</f>
        <v>44776</v>
      </c>
      <c r="H243" s="3">
        <f ca="1">IF(ATALI[[#This Row],[ID NOTA]]="","",INDEX([6]!NOTA[TGL.NOTA],MATCH(ATALI[[#This Row],[ID NOTA]],[6]!NOTA[ID],0)))</f>
        <v>44770</v>
      </c>
      <c r="I243" s="4" t="str">
        <f ca="1">IF(ATALI[[#This Row],[ID NOTA]]="","",INDEX([6]!NOTA[NO.NOTA],MATCH(ATALI[[#This Row],[ID NOTA]],[6]!NOTA[ID],0)))</f>
        <v>SA220711222</v>
      </c>
      <c r="J243" s="4" t="s">
        <v>336</v>
      </c>
      <c r="K243" s="6">
        <f ca="1">IF(ATALI[[#This Row],[//]]="","",IF(INDEX([6]!NOTA[C],ATALI[[#This Row],[//]]-2)="","",INDEX([6]!NOTA[C],ATALI[[#This Row],[//]]-2)))</f>
        <v>10</v>
      </c>
      <c r="L243" s="6">
        <f ca="1">IF(ATALI[[#This Row],[//]]="","",INDEX([6]!NOTA[QTY],ATALI[[#This Row],[//]]-2))</f>
        <v>500</v>
      </c>
      <c r="M243" s="6" t="str">
        <f ca="1">IF(ATALI[[#This Row],[//]]="","",INDEX([6]!NOTA[STN],ATALI[[#This Row],[//]]-2))</f>
        <v>BOX</v>
      </c>
      <c r="N243" s="5">
        <f ca="1">IF(ATALI[[#This Row],[//]]="","",INDEX([6]!NOTA[HARGA SATUAN],ATALI[[#This Row],[//]]-2))</f>
        <v>28300</v>
      </c>
      <c r="O243" s="8">
        <f ca="1">IF(ATALI[[#This Row],[//]]="","",INDEX([6]!NOTA[DISC 1],ATALI[[#This Row],[//]]-2))</f>
        <v>0.125</v>
      </c>
      <c r="P243" s="8">
        <f ca="1">IF(ATALI[[#This Row],[//]]="","",INDEX([6]!NOTA[DISC 2],ATALI[[#This Row],[//]]-2))</f>
        <v>0.05</v>
      </c>
      <c r="Q243" s="5">
        <f ca="1">IF(ATALI[[#This Row],[//]]="","",INDEX([6]!NOTA[TOTAL],ATALI[[#This Row],[//]]-2))</f>
        <v>11762187.5</v>
      </c>
      <c r="R2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Row],[//]]="","",INDEX([6]!NOTA[NAMA BARANG],ATALI[[#This Row],[//]]-2))</f>
        <v>ERASER 526-B40P JK</v>
      </c>
      <c r="V243" s="4" t="str">
        <f ca="1">LOWER(SUBSTITUTE(SUBSTITUTE(SUBSTITUTE(SUBSTITUTE(SUBSTITUTE(SUBSTITUTE(SUBSTITUTE(ATALI[[#This Row],[N.B.nota]]," ",""),"-",""),"(",""),")",""),".",""),",",""),"/",""))</f>
        <v>eraser526b40pjk</v>
      </c>
      <c r="W243" s="4" t="s">
        <v>137</v>
      </c>
      <c r="X243" s="4" t="str">
        <f ca="1">IF(ATALI[[#This Row],[N.B.nota]]="","",ADDRESS(ROW(ATALI[QB]),COLUMN(ATALI[QB]))&amp;":"&amp;ADDRESS(ROW(),COLUMN(ATALI[QB])))</f>
        <v>$D$3:$D$243</v>
      </c>
      <c r="Y243" s="14" t="str">
        <f ca="1">IF(ATALI[[#This Row],[//]]="","",HYPERLINK("[../DB.xlsx]DB!e"&amp;MATCH(ATALI[[#This Row],[concat]],[4]!db[NB NOTA_C],0)+1,"&gt;"))</f>
        <v>&gt;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NOTA]]="","",HYPERLINK("[NOTA_.xlsx]NOTA!e"&amp;INDEX([6]!PAJAK[//],MATCH(ATALI[[#This Row],[ID NOTA]],[6]!PAJAK[ID],0)),"&gt;") )</f>
        <v/>
      </c>
      <c r="D244" s="6" t="str">
        <f>IF(ATALI[[#This Row],[ID NOTA]]="","",INDEX(Table1[QB],MATCH(ATALI[[#This Row],[ID NOTA]],Table1[ID],0)))</f>
        <v/>
      </c>
      <c r="E2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944</v>
      </c>
      <c r="F244" s="6"/>
      <c r="G244" s="3" t="str">
        <f>IF(ATALI[[#This Row],[ID NOTA]]="","",INDEX([6]!NOTA[TGL_H],MATCH(ATALI[[#This Row],[ID NOTA]],[6]!NOTA[ID],0)))</f>
        <v/>
      </c>
      <c r="H244" s="3" t="str">
        <f>IF(ATALI[[#This Row],[ID NOTA]]="","",INDEX([6]!NOTA[TGL.NOTA],MATCH(ATALI[[#This Row],[ID NOTA]],[6]!NOTA[ID],0)))</f>
        <v/>
      </c>
      <c r="I244" s="4" t="str">
        <f>IF(ATALI[[#This Row],[ID NOTA]]="","",INDEX([6]!NOTA[NO.NOTA],MATCH(ATALI[[#This Row],[ID NOTA]],[6]!NOTA[ID],0)))</f>
        <v/>
      </c>
      <c r="J244" s="4" t="s">
        <v>337</v>
      </c>
      <c r="K244" s="6">
        <f ca="1">IF(ATALI[[#This Row],[//]]="","",IF(INDEX([6]!NOTA[C],ATALI[[#This Row],[//]]-2)="","",INDEX([6]!NOTA[C],ATALI[[#This Row],[//]]-2)))</f>
        <v>3</v>
      </c>
      <c r="L244" s="6">
        <f ca="1">IF(ATALI[[#This Row],[//]]="","",INDEX([6]!NOTA[QTY],ATALI[[#This Row],[//]]-2))</f>
        <v>150</v>
      </c>
      <c r="M244" s="6" t="str">
        <f ca="1">IF(ATALI[[#This Row],[//]]="","",INDEX([6]!NOTA[STN],ATALI[[#This Row],[//]]-2))</f>
        <v>BOX</v>
      </c>
      <c r="N244" s="5">
        <f ca="1">IF(ATALI[[#This Row],[//]]="","",INDEX([6]!NOTA[HARGA SATUAN],ATALI[[#This Row],[//]]-2))</f>
        <v>34100</v>
      </c>
      <c r="O244" s="8">
        <f ca="1">IF(ATALI[[#This Row],[//]]="","",INDEX([6]!NOTA[DISC 1],ATALI[[#This Row],[//]]-2))</f>
        <v>0.125</v>
      </c>
      <c r="P244" s="8">
        <f ca="1">IF(ATALI[[#This Row],[//]]="","",INDEX([6]!NOTA[DISC 2],ATALI[[#This Row],[//]]-2))</f>
        <v>0.05</v>
      </c>
      <c r="Q244" s="5">
        <f ca="1">IF(ATALI[[#This Row],[//]]="","",INDEX([6]!NOTA[TOTAL],ATALI[[#This Row],[//]]-2))</f>
        <v>4251843.75</v>
      </c>
      <c r="R2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Row],[//]]="","",INDEX([6]!NOTA[NAMA BARANG],ATALI[[#This Row],[//]]-2))</f>
        <v>ERASER 526-B20 JK</v>
      </c>
      <c r="V244" s="4" t="str">
        <f ca="1">LOWER(SUBSTITUTE(SUBSTITUTE(SUBSTITUTE(SUBSTITUTE(SUBSTITUTE(SUBSTITUTE(SUBSTITUTE(ATALI[[#This Row],[N.B.nota]]," ",""),"-",""),"(",""),")",""),".",""),",",""),"/",""))</f>
        <v>eraser526b20jk</v>
      </c>
      <c r="W244" s="4" t="s">
        <v>137</v>
      </c>
      <c r="X244" s="4" t="str">
        <f ca="1">IF(ATALI[[#This Row],[N.B.nota]]="","",ADDRESS(ROW(ATALI[QB]),COLUMN(ATALI[QB]))&amp;":"&amp;ADDRESS(ROW(),COLUMN(ATALI[QB])))</f>
        <v>$D$3:$D$244</v>
      </c>
      <c r="Y244" s="14" t="str">
        <f ca="1">IF(ATALI[[#This Row],[//]]="","",HYPERLINK("[../DB.xlsx]DB!e"&amp;MATCH(ATALI[[#This Row],[concat]],[4]!db[NB NOTA_C],0)+1,"&gt;"))</f>
        <v>&gt;</v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NOTA]]="","",HYPERLINK("[NOTA_.xlsx]NOTA!e"&amp;INDEX([6]!PAJAK[//],MATCH(ATALI[[#This Row],[ID NOTA]],[6]!PAJAK[ID],0)),"&gt;") )</f>
        <v/>
      </c>
      <c r="D245" s="6" t="str">
        <f>IF(ATALI[[#This Row],[ID NOTA]]="","",INDEX(Table1[QB],MATCH(ATALI[[#This Row],[ID NOTA]],Table1[ID],0)))</f>
        <v/>
      </c>
      <c r="E2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945</v>
      </c>
      <c r="F245" s="6"/>
      <c r="G245" s="3" t="str">
        <f>IF(ATALI[[#This Row],[ID NOTA]]="","",INDEX([6]!NOTA[TGL_H],MATCH(ATALI[[#This Row],[ID NOTA]],[6]!NOTA[ID],0)))</f>
        <v/>
      </c>
      <c r="H245" s="3" t="str">
        <f>IF(ATALI[[#This Row],[ID NOTA]]="","",INDEX([6]!NOTA[TGL.NOTA],MATCH(ATALI[[#This Row],[ID NOTA]],[6]!NOTA[ID],0)))</f>
        <v/>
      </c>
      <c r="I245" s="4" t="str">
        <f>IF(ATALI[[#This Row],[ID NOTA]]="","",INDEX([6]!NOTA[NO.NOTA],MATCH(ATALI[[#This Row],[ID NOTA]],[6]!NOTA[ID],0)))</f>
        <v/>
      </c>
      <c r="J245" s="4" t="s">
        <v>358</v>
      </c>
      <c r="K245" s="6">
        <f ca="1">IF(ATALI[[#This Row],[//]]="","",IF(INDEX([6]!NOTA[C],ATALI[[#This Row],[//]]-2)="","",INDEX([6]!NOTA[C],ATALI[[#This Row],[//]]-2)))</f>
        <v>1</v>
      </c>
      <c r="L245" s="6">
        <f ca="1">IF(ATALI[[#This Row],[//]]="","",INDEX([6]!NOTA[QTY],ATALI[[#This Row],[//]]-2))</f>
        <v>288</v>
      </c>
      <c r="M245" s="6" t="str">
        <f ca="1">IF(ATALI[[#This Row],[//]]="","",INDEX([6]!NOTA[STN],ATALI[[#This Row],[//]]-2))</f>
        <v>CAD</v>
      </c>
      <c r="N245" s="5">
        <f ca="1">IF(ATALI[[#This Row],[//]]="","",INDEX([6]!NOTA[HARGA SATUAN],ATALI[[#This Row],[//]]-2))</f>
        <v>3100</v>
      </c>
      <c r="O245" s="8">
        <f ca="1">IF(ATALI[[#This Row],[//]]="","",INDEX([6]!NOTA[DISC 1],ATALI[[#This Row],[//]]-2))</f>
        <v>0.125</v>
      </c>
      <c r="P245" s="8">
        <f ca="1">IF(ATALI[[#This Row],[//]]="","",INDEX([6]!NOTA[DISC 2],ATALI[[#This Row],[//]]-2))</f>
        <v>0.05</v>
      </c>
      <c r="Q245" s="5">
        <f ca="1">IF(ATALI[[#This Row],[//]]="","",INDEX([6]!NOTA[TOTAL],ATALI[[#This Row],[//]]-2))</f>
        <v>742140</v>
      </c>
      <c r="R2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Row],[//]]="","",INDEX([6]!NOTA[NAMA BARANG],ATALI[[#This Row],[//]]-2))</f>
        <v>PAPER CLIP C-3100 JK</v>
      </c>
      <c r="V245" s="4" t="str">
        <f ca="1">LOWER(SUBSTITUTE(SUBSTITUTE(SUBSTITUTE(SUBSTITUTE(SUBSTITUTE(SUBSTITUTE(SUBSTITUTE(ATALI[[#This Row],[N.B.nota]]," ",""),"-",""),"(",""),")",""),".",""),",",""),"/",""))</f>
        <v>paperclipc3100jk</v>
      </c>
      <c r="W245" s="4" t="s">
        <v>137</v>
      </c>
      <c r="X245" s="4" t="str">
        <f ca="1">IF(ATALI[[#This Row],[N.B.nota]]="","",ADDRESS(ROW(ATALI[QB]),COLUMN(ATALI[QB]))&amp;":"&amp;ADDRESS(ROW(),COLUMN(ATALI[QB])))</f>
        <v>$D$3:$D$245</v>
      </c>
      <c r="Y245" s="64"/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NOTA]]="","",HYPERLINK("[NOTA_.xlsx]NOTA!e"&amp;INDEX([6]!PAJAK[//],MATCH(ATALI[[#This Row],[ID NOTA]],[6]!PAJAK[ID],0)),"&gt;") )</f>
        <v/>
      </c>
      <c r="D246" s="6" t="str">
        <f>IF(ATALI[[#This Row],[ID NOTA]]="","",INDEX(Table1[QB],MATCH(ATALI[[#This Row],[ID NOTA]],Table1[ID],0)))</f>
        <v/>
      </c>
      <c r="E2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946</v>
      </c>
      <c r="F246" s="6"/>
      <c r="G246" s="3" t="str">
        <f>IF(ATALI[[#This Row],[ID NOTA]]="","",INDEX([6]!NOTA[TGL_H],MATCH(ATALI[[#This Row],[ID NOTA]],[6]!NOTA[ID],0)))</f>
        <v/>
      </c>
      <c r="H246" s="3" t="str">
        <f>IF(ATALI[[#This Row],[ID NOTA]]="","",INDEX([6]!NOTA[TGL.NOTA],MATCH(ATALI[[#This Row],[ID NOTA]],[6]!NOTA[ID],0)))</f>
        <v/>
      </c>
      <c r="I246" s="4" t="str">
        <f>IF(ATALI[[#This Row],[ID NOTA]]="","",INDEX([6]!NOTA[NO.NOTA],MATCH(ATALI[[#This Row],[ID NOTA]],[6]!NOTA[ID],0)))</f>
        <v/>
      </c>
      <c r="J246" s="4" t="s">
        <v>281</v>
      </c>
      <c r="K246" s="6">
        <f ca="1">IF(ATALI[[#This Row],[//]]="","",IF(INDEX([6]!NOTA[C],ATALI[[#This Row],[//]]-2)="","",INDEX([6]!NOTA[C],ATALI[[#This Row],[//]]-2)))</f>
        <v>1</v>
      </c>
      <c r="L246" s="6">
        <f ca="1">IF(ATALI[[#This Row],[//]]="","",INDEX([6]!NOTA[QTY],ATALI[[#This Row],[//]]-2))</f>
        <v>120</v>
      </c>
      <c r="M246" s="6" t="str">
        <f ca="1">IF(ATALI[[#This Row],[//]]="","",INDEX([6]!NOTA[STN],ATALI[[#This Row],[//]]-2))</f>
        <v>PCS</v>
      </c>
      <c r="N246" s="5">
        <f ca="1">IF(ATALI[[#This Row],[//]]="","",INDEX([6]!NOTA[HARGA SATUAN],ATALI[[#This Row],[//]]-2))</f>
        <v>12950</v>
      </c>
      <c r="O246" s="8">
        <f ca="1">IF(ATALI[[#This Row],[//]]="","",INDEX([6]!NOTA[DISC 1],ATALI[[#This Row],[//]]-2))</f>
        <v>0.125</v>
      </c>
      <c r="P246" s="8">
        <f ca="1">IF(ATALI[[#This Row],[//]]="","",INDEX([6]!NOTA[DISC 2],ATALI[[#This Row],[//]]-2))</f>
        <v>0.05</v>
      </c>
      <c r="Q246" s="5">
        <f ca="1">IF(ATALI[[#This Row],[//]]="","",INDEX([6]!NOTA[TOTAL],ATALI[[#This Row],[//]]-2))</f>
        <v>1291762.5</v>
      </c>
      <c r="R2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Row],[//]]="","",INDEX([6]!NOTA[NAMA BARANG],ATALI[[#This Row],[//]]-2))</f>
        <v>PUNCH 30XL JK</v>
      </c>
      <c r="V246" s="4" t="str">
        <f ca="1">LOWER(SUBSTITUTE(SUBSTITUTE(SUBSTITUTE(SUBSTITUTE(SUBSTITUTE(SUBSTITUTE(SUBSTITUTE(ATALI[[#This Row],[N.B.nota]]," ",""),"-",""),"(",""),")",""),".",""),",",""),"/",""))</f>
        <v>punch30xljk</v>
      </c>
      <c r="W246" s="4" t="s">
        <v>137</v>
      </c>
      <c r="X246" s="4" t="str">
        <f ca="1">IF(ATALI[[#This Row],[N.B.nota]]="","",ADDRESS(ROW(ATALI[QB]),COLUMN(ATALI[QB]))&amp;":"&amp;ADDRESS(ROW(),COLUMN(ATALI[QB])))</f>
        <v>$D$3:$D$246</v>
      </c>
      <c r="Y246" s="64" t="str">
        <f ca="1">IF(ATALI[[#This Row],[//]]="","",HYPERLINK("[../DB.xlsx]DB!e"&amp;MATCH(ATALI[[#This Row],[concat]],[4]!db[NB NOTA_C],0)+1,"&gt;"))</f>
        <v>&gt;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NOTA]]="","",HYPERLINK("[NOTA_.xlsx]NOTA!e"&amp;INDEX([6]!PAJAK[//],MATCH(ATALI[[#This Row],[ID NOTA]],[6]!PAJAK[ID],0)),"&gt;") )</f>
        <v/>
      </c>
      <c r="D247" s="6" t="str">
        <f>IF(ATALI[[#This Row],[ID NOTA]]="","",INDEX(Table1[QB],MATCH(ATALI[[#This Row],[ID NOTA]],Table1[ID],0)))</f>
        <v/>
      </c>
      <c r="E2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947</v>
      </c>
      <c r="F247" s="6"/>
      <c r="G247" s="3" t="str">
        <f>IF(ATALI[[#This Row],[ID NOTA]]="","",INDEX([6]!NOTA[TGL_H],MATCH(ATALI[[#This Row],[ID NOTA]],[6]!NOTA[ID],0)))</f>
        <v/>
      </c>
      <c r="H247" s="3" t="str">
        <f>IF(ATALI[[#This Row],[ID NOTA]]="","",INDEX([6]!NOTA[TGL.NOTA],MATCH(ATALI[[#This Row],[ID NOTA]],[6]!NOTA[ID],0)))</f>
        <v/>
      </c>
      <c r="I247" s="4" t="str">
        <f>IF(ATALI[[#This Row],[ID NOTA]]="","",INDEX([6]!NOTA[NO.NOTA],MATCH(ATALI[[#This Row],[ID NOTA]],[6]!NOTA[ID],0)))</f>
        <v/>
      </c>
      <c r="J247" s="4" t="s">
        <v>359</v>
      </c>
      <c r="K247" s="6">
        <f ca="1">IF(ATALI[[#This Row],[//]]="","",IF(INDEX([6]!NOTA[C],ATALI[[#This Row],[//]]-2)="","",INDEX([6]!NOTA[C],ATALI[[#This Row],[//]]-2)))</f>
        <v>1</v>
      </c>
      <c r="L247" s="6">
        <f ca="1">IF(ATALI[[#This Row],[//]]="","",INDEX([6]!NOTA[QTY],ATALI[[#This Row],[//]]-2))</f>
        <v>90</v>
      </c>
      <c r="M247" s="6" t="str">
        <f ca="1">IF(ATALI[[#This Row],[//]]="","",INDEX([6]!NOTA[STN],ATALI[[#This Row],[//]]-2))</f>
        <v>PCS</v>
      </c>
      <c r="N247" s="5">
        <f ca="1">IF(ATALI[[#This Row],[//]]="","",INDEX([6]!NOTA[HARGA SATUAN],ATALI[[#This Row],[//]]-2))</f>
        <v>24000</v>
      </c>
      <c r="O247" s="8">
        <f ca="1">IF(ATALI[[#This Row],[//]]="","",INDEX([6]!NOTA[DISC 1],ATALI[[#This Row],[//]]-2))</f>
        <v>0.125</v>
      </c>
      <c r="P247" s="8">
        <f ca="1">IF(ATALI[[#This Row],[//]]="","",INDEX([6]!NOTA[DISC 2],ATALI[[#This Row],[//]]-2))</f>
        <v>0.05</v>
      </c>
      <c r="Q247" s="5">
        <f ca="1">IF(ATALI[[#This Row],[//]]="","",INDEX([6]!NOTA[TOTAL],ATALI[[#This Row],[//]]-2))</f>
        <v>1795500</v>
      </c>
      <c r="R24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4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19843433.75</v>
      </c>
      <c r="T24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Row],[//]]="","",INDEX([6]!NOTA[NAMA BARANG],ATALI[[#This Row],[//]]-2))</f>
        <v>DESK SET DS-1015 JK</v>
      </c>
      <c r="V247" s="4" t="str">
        <f ca="1">LOWER(SUBSTITUTE(SUBSTITUTE(SUBSTITUTE(SUBSTITUTE(SUBSTITUTE(SUBSTITUTE(SUBSTITUTE(ATALI[[#This Row],[N.B.nota]]," ",""),"-",""),"(",""),")",""),".",""),",",""),"/",""))</f>
        <v>desksetds1015jk</v>
      </c>
      <c r="W247" s="4" t="s">
        <v>137</v>
      </c>
      <c r="X247" s="4" t="str">
        <f ca="1">IF(ATALI[[#This Row],[N.B.nota]]="","",ADDRESS(ROW(ATALI[QB]),COLUMN(ATALI[QB]))&amp;":"&amp;ADDRESS(ROW(),COLUMN(ATALI[QB])))</f>
        <v>$D$3:$D$247</v>
      </c>
      <c r="Y247" s="64" t="str">
        <f ca="1">IF(ATALI[[#This Row],[//]]="","",HYPERLINK("[../DB.xlsx]DB!e"&amp;MATCH(ATALI[[#This Row],[concat]],[4]!db[NB NOTA_C],0)+1,"&gt;"))</f>
        <v>&gt;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NOTA]]="","",HYPERLINK("[NOTA_.xlsx]NOTA!e"&amp;INDEX([6]!PAJAK[//],MATCH(ATALI[[#This Row],[ID NOTA]],[6]!PAJAK[ID],0)),"&gt;") )</f>
        <v/>
      </c>
      <c r="D248" s="6" t="str">
        <f>IF(ATALI[[#This Row],[ID NOTA]]="","",INDEX(Table1[QB],MATCH(ATALI[[#This Row],[ID NOTA]],Table1[ID],0)))</f>
        <v/>
      </c>
      <c r="E2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8" s="6"/>
      <c r="G248" s="3" t="str">
        <f>IF(ATALI[[#This Row],[ID NOTA]]="","",INDEX([6]!NOTA[TGL_H],MATCH(ATALI[[#This Row],[ID NOTA]],[6]!NOTA[ID],0)))</f>
        <v/>
      </c>
      <c r="H248" s="3" t="str">
        <f>IF(ATALI[[#This Row],[ID NOTA]]="","",INDEX([6]!NOTA[TGL.NOTA],MATCH(ATALI[[#This Row],[ID NOTA]],[6]!NOTA[ID],0)))</f>
        <v/>
      </c>
      <c r="I248" s="4" t="str">
        <f>IF(ATALI[[#This Row],[ID NOTA]]="","",INDEX([6]!NOTA[NO.NOTA],MATCH(ATALI[[#This Row],[ID NOTA]],[6]!NOTA[ID],0)))</f>
        <v/>
      </c>
      <c r="J248" s="4" t="s">
        <v>136</v>
      </c>
      <c r="K248" s="6" t="str">
        <f ca="1">IF(ATALI[[#This Row],[//]]="","",IF(INDEX([6]!NOTA[C],ATALI[[#This Row],[//]]-2)="","",INDEX([6]!NOTA[C],ATALI[[#This Row],[//]]-2)))</f>
        <v/>
      </c>
      <c r="L248" s="6" t="str">
        <f ca="1">IF(ATALI[[#This Row],[//]]="","",INDEX([6]!NOTA[QTY],ATALI[[#This Row],[//]]-2))</f>
        <v/>
      </c>
      <c r="M248" s="6" t="str">
        <f ca="1">IF(ATALI[[#This Row],[//]]="","",INDEX([6]!NOTA[STN],ATALI[[#This Row],[//]]-2))</f>
        <v/>
      </c>
      <c r="N248" s="5" t="str">
        <f ca="1">IF(ATALI[[#This Row],[//]]="","",INDEX([6]!NOTA[HARGA SATUAN],ATALI[[#This Row],[//]]-2))</f>
        <v/>
      </c>
      <c r="O248" s="8" t="str">
        <f ca="1">IF(ATALI[[#This Row],[//]]="","",INDEX([6]!NOTA[DISC 1],ATALI[[#This Row],[//]]-2))</f>
        <v/>
      </c>
      <c r="P248" s="8" t="str">
        <f ca="1">IF(ATALI[[#This Row],[//]]="","",INDEX([6]!NOTA[DISC 2],ATALI[[#This Row],[//]]-2))</f>
        <v/>
      </c>
      <c r="Q248" s="5" t="str">
        <f ca="1">IF(ATALI[[#This Row],[//]]="","",INDEX([6]!NOTA[TOTAL],ATALI[[#This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Row],[//]]="","",INDEX([6]!NOTA[NAMA BARANG],ATALI[[#This Row],[//]]-2))</f>
        <v/>
      </c>
      <c r="V248" s="4" t="str">
        <f ca="1">LOWER(SUBSTITUTE(SUBSTITUTE(SUBSTITUTE(SUBSTITUTE(SUBSTITUTE(SUBSTITUTE(SUBSTITUTE(ATALI[[#This Row],[N.B.nota]]," ",""),"-",""),"(",""),")",""),".",""),",",""),"/",""))</f>
        <v/>
      </c>
      <c r="W248" s="4" t="s">
        <v>136</v>
      </c>
      <c r="X248" s="4" t="str">
        <f ca="1">IF(ATALI[[#This Row],[N.B.nota]]="","",ADDRESS(ROW(ATALI[QB]),COLUMN(ATALI[QB]))&amp;":"&amp;ADDRESS(ROW(),COLUMN(ATALI[QB])))</f>
        <v/>
      </c>
      <c r="Y248" s="64" t="str">
        <f ca="1">IF(ATALI[[#This Row],[//]]="","",HYPERLINK("[../DB.xlsx]DB!e"&amp;MATCH(ATALI[[#This Row],[concat]],[4]!db[NB NOTA_C],0)+1,"&gt;"))</f>
        <v/>
      </c>
    </row>
    <row r="249" spans="1:25" x14ac:dyDescent="0.25">
      <c r="A249" s="4" t="s">
        <v>134</v>
      </c>
      <c r="B249" s="6">
        <f ca="1">IF(ATALI[[#This Row],[N_ID]]="","",INDEX(Table1[ID],MATCH(ATALI[[#This Row],[N_ID]],Table1[N_ID],0)))</f>
        <v>180</v>
      </c>
      <c r="C249" s="6" t="str">
        <f ca="1">IF(ATALI[[#This Row],[ID NOTA]]="","",HYPERLINK("[NOTA_.xlsx]NOTA!e"&amp;INDEX([6]!PAJAK[//],MATCH(ATALI[[#This Row],[ID NOTA]],[6]!PAJAK[ID],0)),"&gt;") )</f>
        <v>&gt;</v>
      </c>
      <c r="D249" s="6">
        <f ca="1">IF(ATALI[[#This Row],[ID NOTA]]="","",INDEX(Table1[QB],MATCH(ATALI[[#This Row],[ID NOTA]],Table1[ID],0)))</f>
        <v>6</v>
      </c>
      <c r="E2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956</v>
      </c>
      <c r="F249" s="6"/>
      <c r="G249" s="3">
        <f ca="1">IF(ATALI[[#This Row],[ID NOTA]]="","",INDEX([6]!NOTA[TGL_H],MATCH(ATALI[[#This Row],[ID NOTA]],[6]!NOTA[ID],0)))</f>
        <v>44777</v>
      </c>
      <c r="H249" s="3">
        <f ca="1">IF(ATALI[[#This Row],[ID NOTA]]="","",INDEX([6]!NOTA[TGL.NOTA],MATCH(ATALI[[#This Row],[ID NOTA]],[6]!NOTA[ID],0)))</f>
        <v>44771</v>
      </c>
      <c r="I249" s="4" t="str">
        <f ca="1">IF(ATALI[[#This Row],[ID NOTA]]="","",INDEX([6]!NOTA[NO.NOTA],MATCH(ATALI[[#This Row],[ID NOTA]],[6]!NOTA[ID],0)))</f>
        <v>SA220711283</v>
      </c>
      <c r="J249" s="4" t="s">
        <v>336</v>
      </c>
      <c r="K249" s="6">
        <f ca="1">IF(ATALI[[#This Row],[//]]="","",IF(INDEX([6]!NOTA[C],ATALI[[#This Row],[//]]-2)="","",INDEX([6]!NOTA[C],ATALI[[#This Row],[//]]-2)))</f>
        <v>5</v>
      </c>
      <c r="L249" s="6">
        <f ca="1">IF(ATALI[[#This Row],[//]]="","",INDEX([6]!NOTA[QTY],ATALI[[#This Row],[//]]-2))</f>
        <v>250</v>
      </c>
      <c r="M249" s="6" t="str">
        <f ca="1">IF(ATALI[[#This Row],[//]]="","",INDEX([6]!NOTA[STN],ATALI[[#This Row],[//]]-2))</f>
        <v>BOX</v>
      </c>
      <c r="N249" s="5">
        <f ca="1">IF(ATALI[[#This Row],[//]]="","",INDEX([6]!NOTA[HARGA SATUAN],ATALI[[#This Row],[//]]-2))</f>
        <v>28300</v>
      </c>
      <c r="O249" s="8">
        <f ca="1">IF(ATALI[[#This Row],[//]]="","",INDEX([6]!NOTA[DISC 1],ATALI[[#This Row],[//]]-2))</f>
        <v>0.125</v>
      </c>
      <c r="P249" s="8">
        <f ca="1">IF(ATALI[[#This Row],[//]]="","",INDEX([6]!NOTA[DISC 2],ATALI[[#This Row],[//]]-2))</f>
        <v>0.05</v>
      </c>
      <c r="Q249" s="5">
        <f ca="1">IF(ATALI[[#This Row],[//]]="","",INDEX([6]!NOTA[TOTAL],ATALI[[#This Row],[//]]-2))</f>
        <v>5881093.75</v>
      </c>
      <c r="R2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4" t="str">
        <f ca="1">IF(ATALI[[#This Row],[//]]="","",INDEX([6]!NOTA[NAMA BARANG],ATALI[[#This Row],[//]]-2))</f>
        <v>ERASER 526-B40P JK</v>
      </c>
      <c r="V249" s="4" t="str">
        <f ca="1">LOWER(SUBSTITUTE(SUBSTITUTE(SUBSTITUTE(SUBSTITUTE(SUBSTITUTE(SUBSTITUTE(SUBSTITUTE(ATALI[[#This Row],[N.B.nota]]," ",""),"-",""),"(",""),")",""),".",""),",",""),"/",""))</f>
        <v>eraser526b40pjk</v>
      </c>
      <c r="W249" s="4" t="s">
        <v>137</v>
      </c>
      <c r="X249" s="4" t="str">
        <f ca="1">IF(ATALI[[#This Row],[N.B.nota]]="","",ADDRESS(ROW(ATALI[QB]),COLUMN(ATALI[QB]))&amp;":"&amp;ADDRESS(ROW(),COLUMN(ATALI[QB])))</f>
        <v>$D$3:$D$249</v>
      </c>
      <c r="Y249" s="64" t="str">
        <f ca="1">IF(ATALI[[#This Row],[//]]="","",HYPERLINK("[../DB.xlsx]DB!e"&amp;MATCH(ATALI[[#This Row],[concat]],[4]!db[NB NOTA_C],0)+1,"&gt;"))</f>
        <v>&gt;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NOTA]]="","",HYPERLINK("[NOTA_.xlsx]NOTA!e"&amp;INDEX([6]!PAJAK[//],MATCH(ATALI[[#This Row],[ID NOTA]],[6]!PAJAK[ID],0)),"&gt;") )</f>
        <v/>
      </c>
      <c r="D250" s="6" t="str">
        <f>IF(ATALI[[#This Row],[ID NOTA]]="","",INDEX(Table1[QB],MATCH(ATALI[[#This Row],[ID NOTA]],Table1[ID],0)))</f>
        <v/>
      </c>
      <c r="E2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957</v>
      </c>
      <c r="F250" s="6"/>
      <c r="G250" s="3" t="str">
        <f>IF(ATALI[[#This Row],[ID NOTA]]="","",INDEX([6]!NOTA[TGL_H],MATCH(ATALI[[#This Row],[ID NOTA]],[6]!NOTA[ID],0)))</f>
        <v/>
      </c>
      <c r="H250" s="3" t="str">
        <f>IF(ATALI[[#This Row],[ID NOTA]]="","",INDEX([6]!NOTA[TGL.NOTA],MATCH(ATALI[[#This Row],[ID NOTA]],[6]!NOTA[ID],0)))</f>
        <v/>
      </c>
      <c r="I250" s="4" t="str">
        <f>IF(ATALI[[#This Row],[ID NOTA]]="","",INDEX([6]!NOTA[NO.NOTA],MATCH(ATALI[[#This Row],[ID NOTA]],[6]!NOTA[ID],0)))</f>
        <v/>
      </c>
      <c r="J250" s="4" t="s">
        <v>349</v>
      </c>
      <c r="K250" s="6">
        <f ca="1">IF(ATALI[[#This Row],[//]]="","",IF(INDEX([6]!NOTA[C],ATALI[[#This Row],[//]]-2)="","",INDEX([6]!NOTA[C],ATALI[[#This Row],[//]]-2)))</f>
        <v>5</v>
      </c>
      <c r="L250" s="6">
        <f ca="1">IF(ATALI[[#This Row],[//]]="","",INDEX([6]!NOTA[QTY],ATALI[[#This Row],[//]]-2))</f>
        <v>250</v>
      </c>
      <c r="M250" s="6" t="str">
        <f ca="1">IF(ATALI[[#This Row],[//]]="","",INDEX([6]!NOTA[STN],ATALI[[#This Row],[//]]-2))</f>
        <v>BOX</v>
      </c>
      <c r="N250" s="5">
        <f ca="1">IF(ATALI[[#This Row],[//]]="","",INDEX([6]!NOTA[HARGA SATUAN],ATALI[[#This Row],[//]]-2))</f>
        <v>28300</v>
      </c>
      <c r="O250" s="8">
        <f ca="1">IF(ATALI[[#This Row],[//]]="","",INDEX([6]!NOTA[DISC 1],ATALI[[#This Row],[//]]-2))</f>
        <v>0.125</v>
      </c>
      <c r="P250" s="8">
        <f ca="1">IF(ATALI[[#This Row],[//]]="","",INDEX([6]!NOTA[DISC 2],ATALI[[#This Row],[//]]-2))</f>
        <v>0.05</v>
      </c>
      <c r="Q250" s="5">
        <f ca="1">IF(ATALI[[#This Row],[//]]="","",INDEX([6]!NOTA[TOTAL],ATALI[[#This Row],[//]]-2))</f>
        <v>5881093.75</v>
      </c>
      <c r="R2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0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Row],[//]]="","",INDEX([6]!NOTA[NAMA BARANG],ATALI[[#This Row],[//]]-2))</f>
        <v>ERASER 526-B40BL JK</v>
      </c>
      <c r="V250" s="4" t="str">
        <f ca="1">LOWER(SUBSTITUTE(SUBSTITUTE(SUBSTITUTE(SUBSTITUTE(SUBSTITUTE(SUBSTITUTE(SUBSTITUTE(ATALI[[#This Row],[N.B.nota]]," ",""),"-",""),"(",""),")",""),".",""),",",""),"/",""))</f>
        <v>eraser526b40bljk</v>
      </c>
      <c r="W250" s="4" t="s">
        <v>137</v>
      </c>
      <c r="X250" s="4" t="str">
        <f ca="1">IF(ATALI[[#This Row],[N.B.nota]]="","",ADDRESS(ROW(ATALI[QB]),COLUMN(ATALI[QB]))&amp;":"&amp;ADDRESS(ROW(),COLUMN(ATALI[QB])))</f>
        <v>$D$3:$D$250</v>
      </c>
      <c r="Y250" s="64" t="str">
        <f ca="1">IF(ATALI[[#This Row],[//]]="","",HYPERLINK("[../DB.xlsx]DB!e"&amp;MATCH(ATALI[[#This Row],[concat]],[4]!db[NB NOTA_C],0)+1,"&gt;"))</f>
        <v>&gt;</v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NOTA]]="","",HYPERLINK("[NOTA_.xlsx]NOTA!e"&amp;INDEX([6]!PAJAK[//],MATCH(ATALI[[#This Row],[ID NOTA]],[6]!PAJAK[ID],0)),"&gt;") )</f>
        <v/>
      </c>
      <c r="D251" s="6" t="str">
        <f>IF(ATALI[[#This Row],[ID NOTA]]="","",INDEX(Table1[QB],MATCH(ATALI[[#This Row],[ID NOTA]],Table1[ID],0)))</f>
        <v/>
      </c>
      <c r="E2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958</v>
      </c>
      <c r="F251" s="6"/>
      <c r="G251" s="3" t="str">
        <f>IF(ATALI[[#This Row],[ID NOTA]]="","",INDEX([6]!NOTA[TGL_H],MATCH(ATALI[[#This Row],[ID NOTA]],[6]!NOTA[ID],0)))</f>
        <v/>
      </c>
      <c r="H251" s="3" t="str">
        <f>IF(ATALI[[#This Row],[ID NOTA]]="","",INDEX([6]!NOTA[TGL.NOTA],MATCH(ATALI[[#This Row],[ID NOTA]],[6]!NOTA[ID],0)))</f>
        <v/>
      </c>
      <c r="I251" s="4" t="str">
        <f>IF(ATALI[[#This Row],[ID NOTA]]="","",INDEX([6]!NOTA[NO.NOTA],MATCH(ATALI[[#This Row],[ID NOTA]],[6]!NOTA[ID],0)))</f>
        <v/>
      </c>
      <c r="J251" s="4" t="s">
        <v>348</v>
      </c>
      <c r="K251" s="6">
        <f ca="1">IF(ATALI[[#This Row],[//]]="","",IF(INDEX([6]!NOTA[C],ATALI[[#This Row],[//]]-2)="","",INDEX([6]!NOTA[C],ATALI[[#This Row],[//]]-2)))</f>
        <v>2</v>
      </c>
      <c r="L251" s="6">
        <f ca="1">IF(ATALI[[#This Row],[//]]="","",INDEX([6]!NOTA[QTY],ATALI[[#This Row],[//]]-2))</f>
        <v>100</v>
      </c>
      <c r="M251" s="6" t="str">
        <f ca="1">IF(ATALI[[#This Row],[//]]="","",INDEX([6]!NOTA[STN],ATALI[[#This Row],[//]]-2))</f>
        <v>BOX</v>
      </c>
      <c r="N251" s="5">
        <f ca="1">IF(ATALI[[#This Row],[//]]="","",INDEX([6]!NOTA[HARGA SATUAN],ATALI[[#This Row],[//]]-2))</f>
        <v>34100</v>
      </c>
      <c r="O251" s="8">
        <f ca="1">IF(ATALI[[#This Row],[//]]="","",INDEX([6]!NOTA[DISC 1],ATALI[[#This Row],[//]]-2))</f>
        <v>0.125</v>
      </c>
      <c r="P251" s="8">
        <f ca="1">IF(ATALI[[#This Row],[//]]="","",INDEX([6]!NOTA[DISC 2],ATALI[[#This Row],[//]]-2))</f>
        <v>0.05</v>
      </c>
      <c r="Q251" s="5">
        <f ca="1">IF(ATALI[[#This Row],[//]]="","",INDEX([6]!NOTA[TOTAL],ATALI[[#This Row],[//]]-2))</f>
        <v>2834562.5</v>
      </c>
      <c r="R2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1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Row],[//]]="","",INDEX([6]!NOTA[NAMA BARANG],ATALI[[#This Row],[//]]-2))</f>
        <v>ERASER ER-B20BL JK</v>
      </c>
      <c r="V251" s="4" t="str">
        <f ca="1">LOWER(SUBSTITUTE(SUBSTITUTE(SUBSTITUTE(SUBSTITUTE(SUBSTITUTE(SUBSTITUTE(SUBSTITUTE(ATALI[[#This Row],[N.B.nota]]," ",""),"-",""),"(",""),")",""),".",""),",",""),"/",""))</f>
        <v>erasererb20bljk</v>
      </c>
      <c r="W251" s="4" t="s">
        <v>137</v>
      </c>
      <c r="X251" s="4" t="str">
        <f ca="1">IF(ATALI[[#This Row],[N.B.nota]]="","",ADDRESS(ROW(ATALI[QB]),COLUMN(ATALI[QB]))&amp;":"&amp;ADDRESS(ROW(),COLUMN(ATALI[QB])))</f>
        <v>$D$3:$D$251</v>
      </c>
      <c r="Y251" s="64" t="str">
        <f ca="1">IF(ATALI[[#This Row],[//]]="","",HYPERLINK("[../DB.xlsx]DB!e"&amp;MATCH(ATALI[[#This Row],[concat]],[4]!db[NB NOTA_C],0)+1,"&gt;"))</f>
        <v>&gt;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NOTA]]="","",HYPERLINK("[NOTA_.xlsx]NOTA!e"&amp;INDEX([6]!PAJAK[//],MATCH(ATALI[[#This Row],[ID NOTA]],[6]!PAJAK[ID],0)),"&gt;") )</f>
        <v/>
      </c>
      <c r="D252" s="6" t="str">
        <f>IF(ATALI[[#This Row],[ID NOTA]]="","",INDEX(Table1[QB],MATCH(ATALI[[#This Row],[ID NOTA]],Table1[ID],0)))</f>
        <v/>
      </c>
      <c r="E2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959</v>
      </c>
      <c r="F252" s="6"/>
      <c r="G252" s="3" t="str">
        <f>IF(ATALI[[#This Row],[ID NOTA]]="","",INDEX([6]!NOTA[TGL_H],MATCH(ATALI[[#This Row],[ID NOTA]],[6]!NOTA[ID],0)))</f>
        <v/>
      </c>
      <c r="H252" s="3" t="str">
        <f>IF(ATALI[[#This Row],[ID NOTA]]="","",INDEX([6]!NOTA[TGL.NOTA],MATCH(ATALI[[#This Row],[ID NOTA]],[6]!NOTA[ID],0)))</f>
        <v/>
      </c>
      <c r="I252" s="4" t="str">
        <f>IF(ATALI[[#This Row],[ID NOTA]]="","",INDEX([6]!NOTA[NO.NOTA],MATCH(ATALI[[#This Row],[ID NOTA]],[6]!NOTA[ID],0)))</f>
        <v/>
      </c>
      <c r="J252" s="4" t="s">
        <v>360</v>
      </c>
      <c r="K252" s="6">
        <f ca="1">IF(ATALI[[#This Row],[//]]="","",IF(INDEX([6]!NOTA[C],ATALI[[#This Row],[//]]-2)="","",INDEX([6]!NOTA[C],ATALI[[#This Row],[//]]-2)))</f>
        <v>2</v>
      </c>
      <c r="L252" s="6">
        <f ca="1">IF(ATALI[[#This Row],[//]]="","",INDEX([6]!NOTA[QTY],ATALI[[#This Row],[//]]-2))</f>
        <v>100</v>
      </c>
      <c r="M252" s="6" t="str">
        <f ca="1">IF(ATALI[[#This Row],[//]]="","",INDEX([6]!NOTA[STN],ATALI[[#This Row],[//]]-2))</f>
        <v>BOX</v>
      </c>
      <c r="N252" s="5">
        <f ca="1">IF(ATALI[[#This Row],[//]]="","",INDEX([6]!NOTA[HARGA SATUAN],ATALI[[#This Row],[//]]-2))</f>
        <v>29100</v>
      </c>
      <c r="O252" s="8">
        <f ca="1">IF(ATALI[[#This Row],[//]]="","",INDEX([6]!NOTA[DISC 1],ATALI[[#This Row],[//]]-2))</f>
        <v>0.125</v>
      </c>
      <c r="P252" s="8">
        <f ca="1">IF(ATALI[[#This Row],[//]]="","",INDEX([6]!NOTA[DISC 2],ATALI[[#This Row],[//]]-2))</f>
        <v>0.05</v>
      </c>
      <c r="Q252" s="5">
        <f ca="1">IF(ATALI[[#This Row],[//]]="","",INDEX([6]!NOTA[TOTAL],ATALI[[#This Row],[//]]-2))</f>
        <v>2418937.5</v>
      </c>
      <c r="R2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2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Row],[//]]="","",INDEX([6]!NOTA[NAMA BARANG],ATALI[[#This Row],[//]]-2))</f>
        <v>ERASER ER-110 JK</v>
      </c>
      <c r="V252" s="4" t="str">
        <f ca="1">LOWER(SUBSTITUTE(SUBSTITUTE(SUBSTITUTE(SUBSTITUTE(SUBSTITUTE(SUBSTITUTE(SUBSTITUTE(ATALI[[#This Row],[N.B.nota]]," ",""),"-",""),"(",""),")",""),".",""),",",""),"/",""))</f>
        <v>eraserer110jk</v>
      </c>
      <c r="W252" s="4" t="s">
        <v>137</v>
      </c>
      <c r="X252" s="4" t="str">
        <f ca="1">IF(ATALI[[#This Row],[N.B.nota]]="","",ADDRESS(ROW(ATALI[QB]),COLUMN(ATALI[QB]))&amp;":"&amp;ADDRESS(ROW(),COLUMN(ATALI[QB])))</f>
        <v>$D$3:$D$252</v>
      </c>
      <c r="Y252" s="64" t="str">
        <f ca="1">IF(ATALI[[#This Row],[//]]="","",HYPERLINK("[../DB.xlsx]DB!e"&amp;MATCH(ATALI[[#This Row],[concat]],[4]!db[NB NOTA_C],0)+1,"&gt;"))</f>
        <v>&gt;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NOTA]]="","",HYPERLINK("[NOTA_.xlsx]NOTA!e"&amp;INDEX([6]!PAJAK[//],MATCH(ATALI[[#This Row],[ID NOTA]],[6]!PAJAK[ID],0)),"&gt;") )</f>
        <v/>
      </c>
      <c r="D253" s="6" t="str">
        <f>IF(ATALI[[#This Row],[ID NOTA]]="","",INDEX(Table1[QB],MATCH(ATALI[[#This Row],[ID NOTA]],Table1[ID],0)))</f>
        <v/>
      </c>
      <c r="E2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960</v>
      </c>
      <c r="F253" s="6"/>
      <c r="G253" s="3" t="str">
        <f>IF(ATALI[[#This Row],[ID NOTA]]="","",INDEX([6]!NOTA[TGL_H],MATCH(ATALI[[#This Row],[ID NOTA]],[6]!NOTA[ID],0)))</f>
        <v/>
      </c>
      <c r="H253" s="3" t="str">
        <f>IF(ATALI[[#This Row],[ID NOTA]]="","",INDEX([6]!NOTA[TGL.NOTA],MATCH(ATALI[[#This Row],[ID NOTA]],[6]!NOTA[ID],0)))</f>
        <v/>
      </c>
      <c r="I253" s="4" t="str">
        <f>IF(ATALI[[#This Row],[ID NOTA]]="","",INDEX([6]!NOTA[NO.NOTA],MATCH(ATALI[[#This Row],[ID NOTA]],[6]!NOTA[ID],0)))</f>
        <v/>
      </c>
      <c r="J253" s="4" t="s">
        <v>353</v>
      </c>
      <c r="K253" s="6">
        <f ca="1">IF(ATALI[[#This Row],[//]]="","",IF(INDEX([6]!NOTA[C],ATALI[[#This Row],[//]]-2)="","",INDEX([6]!NOTA[C],ATALI[[#This Row],[//]]-2)))</f>
        <v>2</v>
      </c>
      <c r="L253" s="6">
        <f ca="1">IF(ATALI[[#This Row],[//]]="","",INDEX([6]!NOTA[QTY],ATALI[[#This Row],[//]]-2))</f>
        <v>100</v>
      </c>
      <c r="M253" s="6" t="str">
        <f ca="1">IF(ATALI[[#This Row],[//]]="","",INDEX([6]!NOTA[STN],ATALI[[#This Row],[//]]-2))</f>
        <v>BOX</v>
      </c>
      <c r="N253" s="5">
        <f ca="1">IF(ATALI[[#This Row],[//]]="","",INDEX([6]!NOTA[HARGA SATUAN],ATALI[[#This Row],[//]]-2))</f>
        <v>32000</v>
      </c>
      <c r="O253" s="8">
        <f ca="1">IF(ATALI[[#This Row],[//]]="","",INDEX([6]!NOTA[DISC 1],ATALI[[#This Row],[//]]-2))</f>
        <v>0.125</v>
      </c>
      <c r="P253" s="8">
        <f ca="1">IF(ATALI[[#This Row],[//]]="","",INDEX([6]!NOTA[DISC 2],ATALI[[#This Row],[//]]-2))</f>
        <v>0.05</v>
      </c>
      <c r="Q253" s="5">
        <f ca="1">IF(ATALI[[#This Row],[//]]="","",INDEX([6]!NOTA[TOTAL],ATALI[[#This Row],[//]]-2))</f>
        <v>2660000</v>
      </c>
      <c r="R2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3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Row],[//]]="","",INDEX([6]!NOTA[NAMA BARANG],ATALI[[#This Row],[//]]-2))</f>
        <v>ERASER ER-30W JK</v>
      </c>
      <c r="V253" s="4" t="str">
        <f ca="1">LOWER(SUBSTITUTE(SUBSTITUTE(SUBSTITUTE(SUBSTITUTE(SUBSTITUTE(SUBSTITUTE(SUBSTITUTE(ATALI[[#This Row],[N.B.nota]]," ",""),"-",""),"(",""),")",""),".",""),",",""),"/",""))</f>
        <v>eraserer30wjk</v>
      </c>
      <c r="W253" s="4" t="s">
        <v>137</v>
      </c>
      <c r="X253" s="4" t="str">
        <f ca="1">IF(ATALI[[#This Row],[N.B.nota]]="","",ADDRESS(ROW(ATALI[QB]),COLUMN(ATALI[QB]))&amp;":"&amp;ADDRESS(ROW(),COLUMN(ATALI[QB])))</f>
        <v>$D$3:$D$253</v>
      </c>
      <c r="Y253" s="64" t="str">
        <f ca="1">IF(ATALI[[#This Row],[//]]="","",HYPERLINK("[../DB.xlsx]DB!e"&amp;MATCH(ATALI[[#This Row],[concat]],[4]!db[NB NOTA_C],0)+1,"&gt;"))</f>
        <v>&gt;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NOTA]]="","",HYPERLINK("[NOTA_.xlsx]NOTA!e"&amp;INDEX([6]!PAJAK[//],MATCH(ATALI[[#This Row],[ID NOTA]],[6]!PAJAK[ID],0)),"&gt;") )</f>
        <v/>
      </c>
      <c r="D254" s="6" t="str">
        <f>IF(ATALI[[#This Row],[ID NOTA]]="","",INDEX(Table1[QB],MATCH(ATALI[[#This Row],[ID NOTA]],Table1[ID],0)))</f>
        <v/>
      </c>
      <c r="E2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961</v>
      </c>
      <c r="F254" s="6"/>
      <c r="G254" s="3" t="str">
        <f>IF(ATALI[[#This Row],[ID NOTA]]="","",INDEX([6]!NOTA[TGL_H],MATCH(ATALI[[#This Row],[ID NOTA]],[6]!NOTA[ID],0)))</f>
        <v/>
      </c>
      <c r="H254" s="3" t="str">
        <f>IF(ATALI[[#This Row],[ID NOTA]]="","",INDEX([6]!NOTA[TGL.NOTA],MATCH(ATALI[[#This Row],[ID NOTA]],[6]!NOTA[ID],0)))</f>
        <v/>
      </c>
      <c r="I254" s="4" t="str">
        <f>IF(ATALI[[#This Row],[ID NOTA]]="","",INDEX([6]!NOTA[NO.NOTA],MATCH(ATALI[[#This Row],[ID NOTA]],[6]!NOTA[ID],0)))</f>
        <v/>
      </c>
      <c r="J254" s="4" t="s">
        <v>361</v>
      </c>
      <c r="K254" s="6">
        <f ca="1">IF(ATALI[[#This Row],[//]]="","",IF(INDEX([6]!NOTA[C],ATALI[[#This Row],[//]]-2)="","",INDEX([6]!NOTA[C],ATALI[[#This Row],[//]]-2)))</f>
        <v>2</v>
      </c>
      <c r="L254" s="6">
        <f ca="1">IF(ATALI[[#This Row],[//]]="","",INDEX([6]!NOTA[QTY],ATALI[[#This Row],[//]]-2))</f>
        <v>100</v>
      </c>
      <c r="M254" s="6" t="str">
        <f ca="1">IF(ATALI[[#This Row],[//]]="","",INDEX([6]!NOTA[STN],ATALI[[#This Row],[//]]-2))</f>
        <v>BOX</v>
      </c>
      <c r="N254" s="5">
        <f ca="1">IF(ATALI[[#This Row],[//]]="","",INDEX([6]!NOTA[HARGA SATUAN],ATALI[[#This Row],[//]]-2))</f>
        <v>32000</v>
      </c>
      <c r="O254" s="8">
        <f ca="1">IF(ATALI[[#This Row],[//]]="","",INDEX([6]!NOTA[DISC 1],ATALI[[#This Row],[//]]-2))</f>
        <v>0.125</v>
      </c>
      <c r="P254" s="8">
        <f ca="1">IF(ATALI[[#This Row],[//]]="","",INDEX([6]!NOTA[DISC 2],ATALI[[#This Row],[//]]-2))</f>
        <v>0.05</v>
      </c>
      <c r="Q254" s="5">
        <f ca="1">IF(ATALI[[#This Row],[//]]="","",INDEX([6]!NOTA[TOTAL],ATALI[[#This Row],[//]]-2))</f>
        <v>2660000</v>
      </c>
      <c r="R25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5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22335687.5</v>
      </c>
      <c r="T254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Row],[//]]="","",INDEX([6]!NOTA[NAMA BARANG],ATALI[[#This Row],[//]]-2))</f>
        <v>ERASER EB-30 JK</v>
      </c>
      <c r="V254" s="4" t="str">
        <f ca="1">LOWER(SUBSTITUTE(SUBSTITUTE(SUBSTITUTE(SUBSTITUTE(SUBSTITUTE(SUBSTITUTE(SUBSTITUTE(ATALI[[#This Row],[N.B.nota]]," ",""),"-",""),"(",""),")",""),".",""),",",""),"/",""))</f>
        <v>erasereb30jk</v>
      </c>
      <c r="W254" s="4" t="s">
        <v>137</v>
      </c>
      <c r="X254" s="4" t="str">
        <f ca="1">IF(ATALI[[#This Row],[N.B.nota]]="","",ADDRESS(ROW(ATALI[QB]),COLUMN(ATALI[QB]))&amp;":"&amp;ADDRESS(ROW(),COLUMN(ATALI[QB])))</f>
        <v>$D$3:$D$254</v>
      </c>
      <c r="Y254" s="64" t="str">
        <f ca="1">IF(ATALI[[#This Row],[//]]="","",HYPERLINK("[../DB.xlsx]DB!e"&amp;MATCH(ATALI[[#This Row],[concat]],[4]!db[NB NOTA_C],0)+1,"&gt;"))</f>
        <v>&gt;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NOTA]]="","",HYPERLINK("[NOTA_.xlsx]NOTA!e"&amp;INDEX([6]!PAJAK[//],MATCH(ATALI[[#This Row],[ID NOTA]],[6]!PAJAK[ID],0)),"&gt;") )</f>
        <v/>
      </c>
      <c r="D255" s="6" t="str">
        <f>IF(ATALI[[#This Row],[ID NOTA]]="","",INDEX(Table1[QB],MATCH(ATALI[[#This Row],[ID NOTA]],Table1[ID],0)))</f>
        <v/>
      </c>
      <c r="E2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5" s="6"/>
      <c r="G255" s="3" t="str">
        <f>IF(ATALI[[#This Row],[ID NOTA]]="","",INDEX([6]!NOTA[TGL_H],MATCH(ATALI[[#This Row],[ID NOTA]],[6]!NOTA[ID],0)))</f>
        <v/>
      </c>
      <c r="H255" s="3" t="str">
        <f>IF(ATALI[[#This Row],[ID NOTA]]="","",INDEX([6]!NOTA[TGL.NOTA],MATCH(ATALI[[#This Row],[ID NOTA]],[6]!NOTA[ID],0)))</f>
        <v/>
      </c>
      <c r="I255" s="4" t="str">
        <f>IF(ATALI[[#This Row],[ID NOTA]]="","",INDEX([6]!NOTA[NO.NOTA],MATCH(ATALI[[#This Row],[ID NOTA]],[6]!NOTA[ID],0)))</f>
        <v/>
      </c>
      <c r="J255" s="4" t="s">
        <v>136</v>
      </c>
      <c r="K255" s="6" t="str">
        <f ca="1">IF(ATALI[[#This Row],[//]]="","",IF(INDEX([6]!NOTA[C],ATALI[[#This Row],[//]]-2)="","",INDEX([6]!NOTA[C],ATALI[[#This Row],[//]]-2)))</f>
        <v/>
      </c>
      <c r="L255" s="6" t="str">
        <f ca="1">IF(ATALI[[#This Row],[//]]="","",INDEX([6]!NOTA[QTY],ATALI[[#This Row],[//]]-2))</f>
        <v/>
      </c>
      <c r="M255" s="6" t="str">
        <f ca="1">IF(ATALI[[#This Row],[//]]="","",INDEX([6]!NOTA[STN],ATALI[[#This Row],[//]]-2))</f>
        <v/>
      </c>
      <c r="N255" s="5" t="str">
        <f ca="1">IF(ATALI[[#This Row],[//]]="","",INDEX([6]!NOTA[HARGA SATUAN],ATALI[[#This Row],[//]]-2))</f>
        <v/>
      </c>
      <c r="O255" s="8" t="str">
        <f ca="1">IF(ATALI[[#This Row],[//]]="","",INDEX([6]!NOTA[DISC 1],ATALI[[#This Row],[//]]-2))</f>
        <v/>
      </c>
      <c r="P255" s="8" t="str">
        <f ca="1">IF(ATALI[[#This Row],[//]]="","",INDEX([6]!NOTA[DISC 2],ATALI[[#This Row],[//]]-2))</f>
        <v/>
      </c>
      <c r="Q255" s="5" t="str">
        <f ca="1">IF(ATALI[[#This Row],[//]]="","",INDEX([6]!NOTA[TOTAL],ATALI[[#This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5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Row],[//]]="","",INDEX([6]!NOTA[NAMA BARANG],ATALI[[#This Row],[//]]-2))</f>
        <v/>
      </c>
      <c r="V255" s="4" t="str">
        <f ca="1">LOWER(SUBSTITUTE(SUBSTITUTE(SUBSTITUTE(SUBSTITUTE(SUBSTITUTE(SUBSTITUTE(SUBSTITUTE(ATALI[[#This Row],[N.B.nota]]," ",""),"-",""),"(",""),")",""),".",""),",",""),"/",""))</f>
        <v/>
      </c>
      <c r="W255" s="4" t="s">
        <v>136</v>
      </c>
      <c r="X255" s="4" t="str">
        <f ca="1">IF(ATALI[[#This Row],[N.B.nota]]="","",ADDRESS(ROW(ATALI[QB]),COLUMN(ATALI[QB]))&amp;":"&amp;ADDRESS(ROW(),COLUMN(ATALI[QB])))</f>
        <v/>
      </c>
      <c r="Y255" s="64" t="str">
        <f ca="1">IF(ATALI[[#This Row],[//]]="","",HYPERLINK("[../DB.xlsx]DB!e"&amp;MATCH(ATALI[[#This Row],[concat]],[4]!db[NB NOTA_C],0)+1,"&gt;"))</f>
        <v/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NOTA]]="","",HYPERLINK("[NOTA_.xlsx]NOTA!e"&amp;INDEX([6]!PAJAK[//],MATCH(ATALI[[#This Row],[ID NOTA]],[6]!PAJAK[ID],0)),"&gt;") )</f>
        <v/>
      </c>
      <c r="D256" s="6" t="str">
        <f>IF(ATALI[[#This Row],[ID NOTA]]="","",INDEX(Table1[QB],MATCH(ATALI[[#This Row],[ID NOTA]],Table1[ID],0)))</f>
        <v/>
      </c>
      <c r="E2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6" s="6"/>
      <c r="G256" s="3" t="str">
        <f>IF(ATALI[[#This Row],[ID NOTA]]="","",INDEX([6]!NOTA[TGL_H],MATCH(ATALI[[#This Row],[ID NOTA]],[6]!NOTA[ID],0)))</f>
        <v/>
      </c>
      <c r="H256" s="3" t="str">
        <f>IF(ATALI[[#This Row],[ID NOTA]]="","",INDEX([6]!NOTA[TGL.NOTA],MATCH(ATALI[[#This Row],[ID NOTA]],[6]!NOTA[ID],0)))</f>
        <v/>
      </c>
      <c r="I256" s="4" t="str">
        <f>IF(ATALI[[#This Row],[ID NOTA]]="","",INDEX([6]!NOTA[NO.NOTA],MATCH(ATALI[[#This Row],[ID NOTA]],[6]!NOTA[ID],0)))</f>
        <v/>
      </c>
      <c r="J256" s="4" t="s">
        <v>136</v>
      </c>
      <c r="K256" s="6" t="str">
        <f ca="1">IF(ATALI[[#This Row],[//]]="","",IF(INDEX([6]!NOTA[C],ATALI[[#This Row],[//]]-2)="","",INDEX([6]!NOTA[C],ATALI[[#This Row],[//]]-2)))</f>
        <v/>
      </c>
      <c r="L256" s="6" t="str">
        <f ca="1">IF(ATALI[[#This Row],[//]]="","",INDEX([6]!NOTA[QTY],ATALI[[#This Row],[//]]-2))</f>
        <v/>
      </c>
      <c r="M256" s="6" t="str">
        <f ca="1">IF(ATALI[[#This Row],[//]]="","",INDEX([6]!NOTA[STN],ATALI[[#This Row],[//]]-2))</f>
        <v/>
      </c>
      <c r="N256" s="5" t="str">
        <f ca="1">IF(ATALI[[#This Row],[//]]="","",INDEX([6]!NOTA[HARGA SATUAN],ATALI[[#This Row],[//]]-2))</f>
        <v/>
      </c>
      <c r="O256" s="8" t="str">
        <f ca="1">IF(ATALI[[#This Row],[//]]="","",INDEX([6]!NOTA[DISC 1],ATALI[[#This Row],[//]]-2))</f>
        <v/>
      </c>
      <c r="P256" s="8" t="str">
        <f ca="1">IF(ATALI[[#This Row],[//]]="","",INDEX([6]!NOTA[DISC 2],ATALI[[#This Row],[//]]-2))</f>
        <v/>
      </c>
      <c r="Q256" s="5" t="str">
        <f ca="1">IF(ATALI[[#This Row],[//]]="","",INDEX([6]!NOTA[TOTAL],ATALI[[#This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Row],[//]]="","",INDEX([6]!NOTA[NAMA BARANG],ATALI[[#This Row],[//]]-2))</f>
        <v/>
      </c>
      <c r="V256" s="4" t="str">
        <f ca="1">LOWER(SUBSTITUTE(SUBSTITUTE(SUBSTITUTE(SUBSTITUTE(SUBSTITUTE(SUBSTITUTE(SUBSTITUTE(ATALI[[#This Row],[N.B.nota]]," ",""),"-",""),"(",""),")",""),".",""),",",""),"/",""))</f>
        <v/>
      </c>
      <c r="W256" s="4" t="s">
        <v>136</v>
      </c>
      <c r="X256" s="4" t="str">
        <f ca="1">IF(ATALI[[#This Row],[N.B.nota]]="","",ADDRESS(ROW(ATALI[QB]),COLUMN(ATALI[QB]))&amp;":"&amp;ADDRESS(ROW(),COLUMN(ATALI[QB])))</f>
        <v/>
      </c>
      <c r="Y256" s="64" t="str">
        <f ca="1">IF(ATALI[[#This Row],[//]]="","",HYPERLINK("[../DB.xlsx]DB!e"&amp;MATCH(ATALI[[#This Row],[concat]],[4]!db[NB NOTA_C],0)+1,"&gt;"))</f>
        <v/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NOTA]]="","",HYPERLINK("[NOTA_.xlsx]NOTA!e"&amp;INDEX([6]!PAJAK[//],MATCH(ATALI[[#This Row],[ID NOTA]],[6]!PAJAK[ID],0)),"&gt;") )</f>
        <v/>
      </c>
      <c r="D257" s="6" t="str">
        <f>IF(ATALI[[#This Row],[ID NOTA]]="","",INDEX(Table1[QB],MATCH(ATALI[[#This Row],[ID NOTA]],Table1[ID],0)))</f>
        <v/>
      </c>
      <c r="E2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7" s="6"/>
      <c r="G257" s="3" t="str">
        <f>IF(ATALI[[#This Row],[ID NOTA]]="","",INDEX([6]!NOTA[TGL_H],MATCH(ATALI[[#This Row],[ID NOTA]],[6]!NOTA[ID],0)))</f>
        <v/>
      </c>
      <c r="H257" s="3" t="str">
        <f>IF(ATALI[[#This Row],[ID NOTA]]="","",INDEX([6]!NOTA[TGL.NOTA],MATCH(ATALI[[#This Row],[ID NOTA]],[6]!NOTA[ID],0)))</f>
        <v/>
      </c>
      <c r="I257" s="4" t="str">
        <f>IF(ATALI[[#This Row],[ID NOTA]]="","",INDEX([6]!NOTA[NO.NOTA],MATCH(ATALI[[#This Row],[ID NOTA]],[6]!NOTA[ID],0)))</f>
        <v/>
      </c>
      <c r="J257" s="4" t="s">
        <v>136</v>
      </c>
      <c r="K257" s="6" t="str">
        <f ca="1">IF(ATALI[[#This Row],[//]]="","",IF(INDEX([6]!NOTA[C],ATALI[[#This Row],[//]]-2)="","",INDEX([6]!NOTA[C],ATALI[[#This Row],[//]]-2)))</f>
        <v/>
      </c>
      <c r="L257" s="6" t="str">
        <f ca="1">IF(ATALI[[#This Row],[//]]="","",INDEX([6]!NOTA[QTY],ATALI[[#This Row],[//]]-2))</f>
        <v/>
      </c>
      <c r="M257" s="6" t="str">
        <f ca="1">IF(ATALI[[#This Row],[//]]="","",INDEX([6]!NOTA[STN],ATALI[[#This Row],[//]]-2))</f>
        <v/>
      </c>
      <c r="N257" s="5" t="str">
        <f ca="1">IF(ATALI[[#This Row],[//]]="","",INDEX([6]!NOTA[HARGA SATUAN],ATALI[[#This Row],[//]]-2))</f>
        <v/>
      </c>
      <c r="O257" s="8" t="str">
        <f ca="1">IF(ATALI[[#This Row],[//]]="","",INDEX([6]!NOTA[DISC 1],ATALI[[#This Row],[//]]-2))</f>
        <v/>
      </c>
      <c r="P257" s="8" t="str">
        <f ca="1">IF(ATALI[[#This Row],[//]]="","",INDEX([6]!NOTA[DISC 2],ATALI[[#This Row],[//]]-2))</f>
        <v/>
      </c>
      <c r="Q257" s="5" t="str">
        <f ca="1">IF(ATALI[[#This Row],[//]]="","",INDEX([6]!NOTA[TOTAL],ATALI[[#This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Row],[//]]="","",INDEX([6]!NOTA[NAMA BARANG],ATALI[[#This Row],[//]]-2))</f>
        <v/>
      </c>
      <c r="V257" s="4" t="str">
        <f ca="1">LOWER(SUBSTITUTE(SUBSTITUTE(SUBSTITUTE(SUBSTITUTE(SUBSTITUTE(SUBSTITUTE(SUBSTITUTE(ATALI[[#This Row],[N.B.nota]]," ",""),"-",""),"(",""),")",""),".",""),",",""),"/",""))</f>
        <v/>
      </c>
      <c r="W257" s="4" t="s">
        <v>136</v>
      </c>
      <c r="X257" s="4" t="str">
        <f ca="1">IF(ATALI[[#This Row],[N.B.nota]]="","",ADDRESS(ROW(ATALI[QB]),COLUMN(ATALI[QB]))&amp;":"&amp;ADDRESS(ROW(),COLUMN(ATALI[QB])))</f>
        <v/>
      </c>
      <c r="Y257" s="64" t="str">
        <f ca="1">IF(ATALI[[#This Row],[//]]="","",HYPERLINK("[../DB.xlsx]DB!e"&amp;MATCH(ATALI[[#This Row],[concat]],[4]!db[NB NOTA_C],0)+1,"&gt;"))</f>
        <v/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NOTA]]="","",HYPERLINK("[NOTA_.xlsx]NOTA!e"&amp;INDEX([6]!PAJAK[//],MATCH(ATALI[[#This Row],[ID NOTA]],[6]!PAJAK[ID],0)),"&gt;") )</f>
        <v/>
      </c>
      <c r="D258" s="6" t="str">
        <f>IF(ATALI[[#This Row],[ID NOTA]]="","",INDEX(Table1[QB],MATCH(ATALI[[#This Row],[ID NOTA]],Table1[ID],0)))</f>
        <v/>
      </c>
      <c r="E2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8" s="6"/>
      <c r="G258" s="3" t="str">
        <f>IF(ATALI[[#This Row],[ID NOTA]]="","",INDEX([6]!NOTA[TGL_H],MATCH(ATALI[[#This Row],[ID NOTA]],[6]!NOTA[ID],0)))</f>
        <v/>
      </c>
      <c r="H258" s="3" t="str">
        <f>IF(ATALI[[#This Row],[ID NOTA]]="","",INDEX([6]!NOTA[TGL.NOTA],MATCH(ATALI[[#This Row],[ID NOTA]],[6]!NOTA[ID],0)))</f>
        <v/>
      </c>
      <c r="I258" s="4" t="str">
        <f>IF(ATALI[[#This Row],[ID NOTA]]="","",INDEX([6]!NOTA[NO.NOTA],MATCH(ATALI[[#This Row],[ID NOTA]],[6]!NOTA[ID],0)))</f>
        <v/>
      </c>
      <c r="J258" s="4" t="s">
        <v>136</v>
      </c>
      <c r="K258" s="6" t="str">
        <f ca="1">IF(ATALI[[#This Row],[//]]="","",IF(INDEX([6]!NOTA[C],ATALI[[#This Row],[//]]-2)="","",INDEX([6]!NOTA[C],ATALI[[#This Row],[//]]-2)))</f>
        <v/>
      </c>
      <c r="L258" s="6" t="str">
        <f ca="1">IF(ATALI[[#This Row],[//]]="","",INDEX([6]!NOTA[QTY],ATALI[[#This Row],[//]]-2))</f>
        <v/>
      </c>
      <c r="M258" s="6" t="str">
        <f ca="1">IF(ATALI[[#This Row],[//]]="","",INDEX([6]!NOTA[STN],ATALI[[#This Row],[//]]-2))</f>
        <v/>
      </c>
      <c r="N258" s="5" t="str">
        <f ca="1">IF(ATALI[[#This Row],[//]]="","",INDEX([6]!NOTA[HARGA SATUAN],ATALI[[#This Row],[//]]-2))</f>
        <v/>
      </c>
      <c r="O258" s="8" t="str">
        <f ca="1">IF(ATALI[[#This Row],[//]]="","",INDEX([6]!NOTA[DISC 1],ATALI[[#This Row],[//]]-2))</f>
        <v/>
      </c>
      <c r="P258" s="8" t="str">
        <f ca="1">IF(ATALI[[#This Row],[//]]="","",INDEX([6]!NOTA[DISC 2],ATALI[[#This Row],[//]]-2))</f>
        <v/>
      </c>
      <c r="Q258" s="5" t="str">
        <f ca="1">IF(ATALI[[#This Row],[//]]="","",INDEX([6]!NOTA[TOTAL],ATALI[[#This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Row],[//]]="","",INDEX([6]!NOTA[NAMA BARANG],ATALI[[#This Row],[//]]-2))</f>
        <v/>
      </c>
      <c r="V258" s="4" t="str">
        <f ca="1">LOWER(SUBSTITUTE(SUBSTITUTE(SUBSTITUTE(SUBSTITUTE(SUBSTITUTE(SUBSTITUTE(SUBSTITUTE(ATALI[[#This Row],[N.B.nota]]," ",""),"-",""),"(",""),")",""),".",""),",",""),"/",""))</f>
        <v/>
      </c>
      <c r="W258" s="4" t="s">
        <v>136</v>
      </c>
      <c r="X258" s="4" t="str">
        <f ca="1">IF(ATALI[[#This Row],[N.B.nota]]="","",ADDRESS(ROW(ATALI[QB]),COLUMN(ATALI[QB]))&amp;":"&amp;ADDRESS(ROW(),COLUMN(ATALI[QB])))</f>
        <v/>
      </c>
      <c r="Y258" s="64" t="str">
        <f ca="1">IF(ATALI[[#This Row],[//]]="","",HYPERLINK("[../DB.xlsx]DB!e"&amp;MATCH(ATALI[[#This Row],[concat]],[4]!db[NB NOTA_C],0)+1,"&gt;"))</f>
        <v/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NOTA]]="","",HYPERLINK("[NOTA_.xlsx]NOTA!e"&amp;INDEX([6]!PAJAK[//],MATCH(ATALI[[#This Row],[ID NOTA]],[6]!PAJAK[ID],0)),"&gt;") )</f>
        <v/>
      </c>
      <c r="D259" s="6" t="str">
        <f>IF(ATALI[[#This Row],[ID NOTA]]="","",INDEX(Table1[QB],MATCH(ATALI[[#This Row],[ID NOTA]],Table1[ID],0)))</f>
        <v/>
      </c>
      <c r="E2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9" s="6"/>
      <c r="G259" s="3" t="str">
        <f>IF(ATALI[[#This Row],[ID NOTA]]="","",INDEX([6]!NOTA[TGL_H],MATCH(ATALI[[#This Row],[ID NOTA]],[6]!NOTA[ID],0)))</f>
        <v/>
      </c>
      <c r="H259" s="3" t="str">
        <f>IF(ATALI[[#This Row],[ID NOTA]]="","",INDEX([6]!NOTA[TGL.NOTA],MATCH(ATALI[[#This Row],[ID NOTA]],[6]!NOTA[ID],0)))</f>
        <v/>
      </c>
      <c r="I259" s="4" t="str">
        <f>IF(ATALI[[#This Row],[ID NOTA]]="","",INDEX([6]!NOTA[NO.NOTA],MATCH(ATALI[[#This Row],[ID NOTA]],[6]!NOTA[ID],0)))</f>
        <v/>
      </c>
      <c r="J259" s="4" t="s">
        <v>136</v>
      </c>
      <c r="K259" s="6" t="str">
        <f ca="1">IF(ATALI[[#This Row],[//]]="","",IF(INDEX([6]!NOTA[C],ATALI[[#This Row],[//]]-2)="","",INDEX([6]!NOTA[C],ATALI[[#This Row],[//]]-2)))</f>
        <v/>
      </c>
      <c r="L259" s="6" t="str">
        <f ca="1">IF(ATALI[[#This Row],[//]]="","",INDEX([6]!NOTA[QTY],ATALI[[#This Row],[//]]-2))</f>
        <v/>
      </c>
      <c r="M259" s="6" t="str">
        <f ca="1">IF(ATALI[[#This Row],[//]]="","",INDEX([6]!NOTA[STN],ATALI[[#This Row],[//]]-2))</f>
        <v/>
      </c>
      <c r="N259" s="5" t="str">
        <f ca="1">IF(ATALI[[#This Row],[//]]="","",INDEX([6]!NOTA[HARGA SATUAN],ATALI[[#This Row],[//]]-2))</f>
        <v/>
      </c>
      <c r="O259" s="8" t="str">
        <f ca="1">IF(ATALI[[#This Row],[//]]="","",INDEX([6]!NOTA[DISC 1],ATALI[[#This Row],[//]]-2))</f>
        <v/>
      </c>
      <c r="P259" s="8" t="str">
        <f ca="1">IF(ATALI[[#This Row],[//]]="","",INDEX([6]!NOTA[DISC 2],ATALI[[#This Row],[//]]-2))</f>
        <v/>
      </c>
      <c r="Q259" s="5" t="str">
        <f ca="1">IF(ATALI[[#This Row],[//]]="","",INDEX([6]!NOTA[TOTAL],ATALI[[#This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Row],[//]]="","",INDEX([6]!NOTA[NAMA BARANG],ATALI[[#This Row],[//]]-2))</f>
        <v/>
      </c>
      <c r="V259" s="4" t="str">
        <f ca="1">LOWER(SUBSTITUTE(SUBSTITUTE(SUBSTITUTE(SUBSTITUTE(SUBSTITUTE(SUBSTITUTE(SUBSTITUTE(ATALI[[#This Row],[N.B.nota]]," ",""),"-",""),"(",""),")",""),".",""),",",""),"/",""))</f>
        <v/>
      </c>
      <c r="W259" s="4" t="s">
        <v>136</v>
      </c>
      <c r="X259" s="4" t="str">
        <f ca="1">IF(ATALI[[#This Row],[N.B.nota]]="","",ADDRESS(ROW(ATALI[QB]),COLUMN(ATALI[QB]))&amp;":"&amp;ADDRESS(ROW(),COLUMN(ATALI[QB])))</f>
        <v/>
      </c>
      <c r="Y259" s="64" t="str">
        <f ca="1">IF(ATALI[[#This Row],[//]]="","",HYPERLINK("[../DB.xlsx]DB!e"&amp;MATCH(ATALI[[#This Row],[concat]],[4]!db[NB NOTA_C],0)+1,"&gt;"))</f>
        <v/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NOTA]]="","",HYPERLINK("[NOTA_.xlsx]NOTA!e"&amp;INDEX([6]!PAJAK[//],MATCH(ATALI[[#This Row],[ID NOTA]],[6]!PAJAK[ID],0)),"&gt;")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0" s="6"/>
      <c r="G260" s="3" t="str">
        <f>IF(ATALI[[#This Row],[ID NOTA]]="","",INDEX([6]!NOTA[TGL_H],MATCH(ATALI[[#This Row],[ID NOTA]],[6]!NOTA[ID],0)))</f>
        <v/>
      </c>
      <c r="H260" s="3" t="str">
        <f>IF(ATALI[[#This Row],[ID NOTA]]="","",INDEX([6]!NOTA[TGL.NOTA],MATCH(ATALI[[#This Row],[ID NOTA]],[6]!NOTA[ID],0)))</f>
        <v/>
      </c>
      <c r="I260" s="4" t="str">
        <f>IF(ATALI[[#This Row],[ID NOTA]]="","",INDEX([6]!NOTA[NO.NOTA],MATCH(ATALI[[#This Row],[ID NOTA]],[6]!NOTA[ID],0)))</f>
        <v/>
      </c>
      <c r="J260" s="4" t="s">
        <v>136</v>
      </c>
      <c r="K260" s="6" t="str">
        <f ca="1">IF(ATALI[[#This Row],[//]]="","",IF(INDEX([6]!NOTA[C],ATALI[[#This Row],[//]]-2)="","",INDEX([6]!NOTA[C],ATALI[[#This Row],[//]]-2)))</f>
        <v/>
      </c>
      <c r="L260" s="6" t="str">
        <f ca="1">IF(ATALI[[#This Row],[//]]="","",INDEX([6]!NOTA[QTY],ATALI[[#This Row],[//]]-2))</f>
        <v/>
      </c>
      <c r="M260" s="6" t="str">
        <f ca="1">IF(ATALI[[#This Row],[//]]="","",INDEX([6]!NOTA[STN],ATALI[[#This Row],[//]]-2))</f>
        <v/>
      </c>
      <c r="N260" s="5" t="str">
        <f ca="1">IF(ATALI[[#This Row],[//]]="","",INDEX([6]!NOTA[HARGA SATUAN],ATALI[[#This Row],[//]]-2))</f>
        <v/>
      </c>
      <c r="O260" s="8" t="str">
        <f ca="1">IF(ATALI[[#This Row],[//]]="","",INDEX([6]!NOTA[DISC 1],ATALI[[#This Row],[//]]-2))</f>
        <v/>
      </c>
      <c r="P260" s="8" t="str">
        <f ca="1">IF(ATALI[[#This Row],[//]]="","",INDEX([6]!NOTA[DISC 2],ATALI[[#This Row],[//]]-2))</f>
        <v/>
      </c>
      <c r="Q260" s="5" t="str">
        <f ca="1">IF(ATALI[[#This Row],[//]]="","",INDEX([6]!NOTA[TOTAL],ATALI[[#This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0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Row],[//]]="","",INDEX([6]!NOTA[NAMA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">
        <v>136</v>
      </c>
      <c r="X260" s="4" t="str">
        <f ca="1">IF(ATALI[[#This Row],[N.B.nota]]="","",ADDRESS(ROW(ATALI[QB]),COLUMN(ATALI[QB]))&amp;":"&amp;ADDRESS(ROW(),COLUMN(ATALI[QB])))</f>
        <v/>
      </c>
      <c r="Y260" s="64" t="str">
        <f ca="1">IF(ATALI[[#This Row],[//]]="","",HYPERLINK("[../DB.xlsx]DB!e"&amp;MATCH(ATALI[[#This Row],[concat]],[4]!db[NB NOTA_C],0)+1,"&gt;"))</f>
        <v/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NOTA]]="","",HYPERLINK("[NOTA_.xlsx]NOTA!e"&amp;INDEX([6]!PAJAK[//],MATCH(ATALI[[#This Row],[ID NOTA]],[6]!PAJAK[ID],0)),"&gt;") )</f>
        <v/>
      </c>
      <c r="D261" s="6" t="str">
        <f>IF(ATALI[[#This Row],[ID NOTA]]="","",INDEX(Table1[QB],MATCH(ATALI[[#This Row],[ID NOTA]],Table1[ID],0)))</f>
        <v/>
      </c>
      <c r="E2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1" s="6"/>
      <c r="G261" s="3" t="str">
        <f>IF(ATALI[[#This Row],[ID NOTA]]="","",INDEX([6]!NOTA[TGL_H],MATCH(ATALI[[#This Row],[ID NOTA]],[6]!NOTA[ID],0)))</f>
        <v/>
      </c>
      <c r="H261" s="3" t="str">
        <f>IF(ATALI[[#This Row],[ID NOTA]]="","",INDEX([6]!NOTA[TGL.NOTA],MATCH(ATALI[[#This Row],[ID NOTA]],[6]!NOTA[ID],0)))</f>
        <v/>
      </c>
      <c r="I261" s="4" t="str">
        <f>IF(ATALI[[#This Row],[ID NOTA]]="","",INDEX([6]!NOTA[NO.NOTA],MATCH(ATALI[[#This Row],[ID NOTA]],[6]!NOTA[ID],0)))</f>
        <v/>
      </c>
      <c r="J261" s="4" t="s">
        <v>136</v>
      </c>
      <c r="K261" s="6" t="str">
        <f ca="1">IF(ATALI[[#This Row],[//]]="","",IF(INDEX([6]!NOTA[C],ATALI[[#This Row],[//]]-2)="","",INDEX([6]!NOTA[C],ATALI[[#This Row],[//]]-2)))</f>
        <v/>
      </c>
      <c r="L261" s="6" t="str">
        <f ca="1">IF(ATALI[[#This Row],[//]]="","",INDEX([6]!NOTA[QTY],ATALI[[#This Row],[//]]-2))</f>
        <v/>
      </c>
      <c r="M261" s="6" t="str">
        <f ca="1">IF(ATALI[[#This Row],[//]]="","",INDEX([6]!NOTA[STN],ATALI[[#This Row],[//]]-2))</f>
        <v/>
      </c>
      <c r="N261" s="5" t="str">
        <f ca="1">IF(ATALI[[#This Row],[//]]="","",INDEX([6]!NOTA[HARGA SATUAN],ATALI[[#This Row],[//]]-2))</f>
        <v/>
      </c>
      <c r="O261" s="8" t="str">
        <f ca="1">IF(ATALI[[#This Row],[//]]="","",INDEX([6]!NOTA[DISC 1],ATALI[[#This Row],[//]]-2))</f>
        <v/>
      </c>
      <c r="P261" s="8" t="str">
        <f ca="1">IF(ATALI[[#This Row],[//]]="","",INDEX([6]!NOTA[DISC 2],ATALI[[#This Row],[//]]-2))</f>
        <v/>
      </c>
      <c r="Q261" s="5" t="str">
        <f ca="1">IF(ATALI[[#This Row],[//]]="","",INDEX([6]!NOTA[TOTAL],ATALI[[#This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1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Row],[//]]="","",INDEX([6]!NOTA[NAMA BARANG],ATALI[[#This Row],[//]]-2))</f>
        <v/>
      </c>
      <c r="V261" s="4" t="str">
        <f ca="1">LOWER(SUBSTITUTE(SUBSTITUTE(SUBSTITUTE(SUBSTITUTE(SUBSTITUTE(SUBSTITUTE(SUBSTITUTE(ATALI[[#This Row],[N.B.nota]]," ",""),"-",""),"(",""),")",""),".",""),",",""),"/",""))</f>
        <v/>
      </c>
      <c r="W261" s="4" t="s">
        <v>136</v>
      </c>
      <c r="X261" s="4" t="str">
        <f ca="1">IF(ATALI[[#This Row],[N.B.nota]]="","",ADDRESS(ROW(ATALI[QB]),COLUMN(ATALI[QB]))&amp;":"&amp;ADDRESS(ROW(),COLUMN(ATALI[QB])))</f>
        <v/>
      </c>
      <c r="Y261" s="64" t="str">
        <f ca="1">IF(ATALI[[#This Row],[//]]="","",HYPERLINK("[../DB.xlsx]DB!e"&amp;MATCH(ATALI[[#This Row],[concat]],[4]!db[NB NOTA_C],0)+1,"&gt;"))</f>
        <v/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NOTA]]="","",HYPERLINK("[NOTA_.xlsx]NOTA!e"&amp;INDEX([6]!PAJAK[//],MATCH(ATALI[[#This Row],[ID NOTA]],[6]!PAJAK[ID],0)),"&gt;") )</f>
        <v/>
      </c>
      <c r="D262" s="6" t="str">
        <f>IF(ATALI[[#This Row],[ID NOTA]]="","",INDEX(Table1[QB],MATCH(ATALI[[#This Row],[ID NOTA]],Table1[ID],0)))</f>
        <v/>
      </c>
      <c r="E2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2" s="6"/>
      <c r="G262" s="3" t="str">
        <f>IF(ATALI[[#This Row],[ID NOTA]]="","",INDEX([6]!NOTA[TGL_H],MATCH(ATALI[[#This Row],[ID NOTA]],[6]!NOTA[ID],0)))</f>
        <v/>
      </c>
      <c r="H262" s="3" t="str">
        <f>IF(ATALI[[#This Row],[ID NOTA]]="","",INDEX([6]!NOTA[TGL.NOTA],MATCH(ATALI[[#This Row],[ID NOTA]],[6]!NOTA[ID],0)))</f>
        <v/>
      </c>
      <c r="I262" s="4" t="str">
        <f>IF(ATALI[[#This Row],[ID NOTA]]="","",INDEX([6]!NOTA[NO.NOTA],MATCH(ATALI[[#This Row],[ID NOTA]],[6]!NOTA[ID],0)))</f>
        <v/>
      </c>
      <c r="J262" s="4" t="s">
        <v>136</v>
      </c>
      <c r="K262" s="6" t="str">
        <f ca="1">IF(ATALI[[#This Row],[//]]="","",IF(INDEX([6]!NOTA[C],ATALI[[#This Row],[//]]-2)="","",INDEX([6]!NOTA[C],ATALI[[#This Row],[//]]-2)))</f>
        <v/>
      </c>
      <c r="L262" s="6" t="str">
        <f ca="1">IF(ATALI[[#This Row],[//]]="","",INDEX([6]!NOTA[QTY],ATALI[[#This Row],[//]]-2))</f>
        <v/>
      </c>
      <c r="M262" s="6" t="str">
        <f ca="1">IF(ATALI[[#This Row],[//]]="","",INDEX([6]!NOTA[STN],ATALI[[#This Row],[//]]-2))</f>
        <v/>
      </c>
      <c r="N262" s="5" t="str">
        <f ca="1">IF(ATALI[[#This Row],[//]]="","",INDEX([6]!NOTA[HARGA SATUAN],ATALI[[#This Row],[//]]-2))</f>
        <v/>
      </c>
      <c r="O262" s="8" t="str">
        <f ca="1">IF(ATALI[[#This Row],[//]]="","",INDEX([6]!NOTA[DISC 1],ATALI[[#This Row],[//]]-2))</f>
        <v/>
      </c>
      <c r="P262" s="8" t="str">
        <f ca="1">IF(ATALI[[#This Row],[//]]="","",INDEX([6]!NOTA[DISC 2],ATALI[[#This Row],[//]]-2))</f>
        <v/>
      </c>
      <c r="Q262" s="5" t="str">
        <f ca="1">IF(ATALI[[#This Row],[//]]="","",INDEX([6]!NOTA[TOTAL],ATALI[[#This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2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Row],[//]]="","",INDEX([6]!NOTA[NAMA BARANG],ATALI[[#This Row],[//]]-2))</f>
        <v/>
      </c>
      <c r="V262" s="4" t="str">
        <f ca="1">LOWER(SUBSTITUTE(SUBSTITUTE(SUBSTITUTE(SUBSTITUTE(SUBSTITUTE(SUBSTITUTE(SUBSTITUTE(ATALI[[#This Row],[N.B.nota]]," ",""),"-",""),"(",""),")",""),".",""),",",""),"/",""))</f>
        <v/>
      </c>
      <c r="W262" s="4" t="s">
        <v>136</v>
      </c>
      <c r="X262" s="4" t="str">
        <f ca="1">IF(ATALI[[#This Row],[N.B.nota]]="","",ADDRESS(ROW(ATALI[QB]),COLUMN(ATALI[QB]))&amp;":"&amp;ADDRESS(ROW(),COLUMN(ATALI[QB])))</f>
        <v/>
      </c>
      <c r="Y262" s="64" t="str">
        <f ca="1">IF(ATALI[[#This Row],[//]]="","",HYPERLINK("[../DB.xlsx]DB!e"&amp;MATCH(ATALI[[#This Row],[concat]],[4]!db[NB NOTA_C],0)+1,"&gt;"))</f>
        <v/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NOTA]]="","",HYPERLINK("[NOTA_.xlsx]NOTA!e"&amp;INDEX([6]!PAJAK[//],MATCH(ATALI[[#This Row],[ID NOTA]],[6]!PAJAK[ID],0)),"&gt;") )</f>
        <v/>
      </c>
      <c r="D263" s="6" t="str">
        <f>IF(ATALI[[#This Row],[ID NOTA]]="","",INDEX(Table1[QB],MATCH(ATALI[[#This Row],[ID NOTA]],Table1[ID],0)))</f>
        <v/>
      </c>
      <c r="E2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3" s="6"/>
      <c r="G263" s="3" t="str">
        <f>IF(ATALI[[#This Row],[ID NOTA]]="","",INDEX([6]!NOTA[TGL_H],MATCH(ATALI[[#This Row],[ID NOTA]],[6]!NOTA[ID],0)))</f>
        <v/>
      </c>
      <c r="H263" s="3" t="str">
        <f>IF(ATALI[[#This Row],[ID NOTA]]="","",INDEX([6]!NOTA[TGL.NOTA],MATCH(ATALI[[#This Row],[ID NOTA]],[6]!NOTA[ID],0)))</f>
        <v/>
      </c>
      <c r="I263" s="4" t="str">
        <f>IF(ATALI[[#This Row],[ID NOTA]]="","",INDEX([6]!NOTA[NO.NOTA],MATCH(ATALI[[#This Row],[ID NOTA]],[6]!NOTA[ID],0)))</f>
        <v/>
      </c>
      <c r="J263" s="4" t="s">
        <v>136</v>
      </c>
      <c r="K263" s="6" t="str">
        <f ca="1">IF(ATALI[[#This Row],[//]]="","",IF(INDEX([6]!NOTA[C],ATALI[[#This Row],[//]]-2)="","",INDEX([6]!NOTA[C],ATALI[[#This Row],[//]]-2)))</f>
        <v/>
      </c>
      <c r="L263" s="6" t="str">
        <f ca="1">IF(ATALI[[#This Row],[//]]="","",INDEX([6]!NOTA[QTY],ATALI[[#This Row],[//]]-2))</f>
        <v/>
      </c>
      <c r="M263" s="6" t="str">
        <f ca="1">IF(ATALI[[#This Row],[//]]="","",INDEX([6]!NOTA[STN],ATALI[[#This Row],[//]]-2))</f>
        <v/>
      </c>
      <c r="N263" s="5" t="str">
        <f ca="1">IF(ATALI[[#This Row],[//]]="","",INDEX([6]!NOTA[HARGA SATUAN],ATALI[[#This Row],[//]]-2))</f>
        <v/>
      </c>
      <c r="O263" s="8" t="str">
        <f ca="1">IF(ATALI[[#This Row],[//]]="","",INDEX([6]!NOTA[DISC 1],ATALI[[#This Row],[//]]-2))</f>
        <v/>
      </c>
      <c r="P263" s="8" t="str">
        <f ca="1">IF(ATALI[[#This Row],[//]]="","",INDEX([6]!NOTA[DISC 2],ATALI[[#This Row],[//]]-2))</f>
        <v/>
      </c>
      <c r="Q263" s="5" t="str">
        <f ca="1">IF(ATALI[[#This Row],[//]]="","",INDEX([6]!NOTA[TOTAL],ATALI[[#This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3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Row],[//]]="","",INDEX([6]!NOTA[NAMA BARANG],ATALI[[#This Row],[//]]-2))</f>
        <v/>
      </c>
      <c r="V263" s="4" t="str">
        <f ca="1">LOWER(SUBSTITUTE(SUBSTITUTE(SUBSTITUTE(SUBSTITUTE(SUBSTITUTE(SUBSTITUTE(SUBSTITUTE(ATALI[[#This Row],[N.B.nota]]," ",""),"-",""),"(",""),")",""),".",""),",",""),"/",""))</f>
        <v/>
      </c>
      <c r="W263" s="4" t="s">
        <v>136</v>
      </c>
      <c r="X263" s="4" t="str">
        <f ca="1">IF(ATALI[[#This Row],[N.B.nota]]="","",ADDRESS(ROW(ATALI[QB]),COLUMN(ATALI[QB]))&amp;":"&amp;ADDRESS(ROW(),COLUMN(ATALI[QB])))</f>
        <v/>
      </c>
      <c r="Y263" s="64" t="str">
        <f ca="1">IF(ATALI[[#This Row],[//]]="","",HYPERLINK("[../DB.xlsx]DB!e"&amp;MATCH(ATALI[[#This Row],[concat]],[4]!db[NB NOTA_C],0)+1,"&gt;"))</f>
        <v/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NOTA]]="","",HYPERLINK("[NOTA_.xlsx]NOTA!e"&amp;INDEX([6]!PAJAK[//],MATCH(ATALI[[#This Row],[ID NOTA]],[6]!PAJAK[ID],0)),"&gt;") )</f>
        <v/>
      </c>
      <c r="D264" s="6" t="str">
        <f>IF(ATALI[[#This Row],[ID NOTA]]="","",INDEX(Table1[QB],MATCH(ATALI[[#This Row],[ID NOTA]],Table1[ID],0)))</f>
        <v/>
      </c>
      <c r="E2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4" s="6"/>
      <c r="G264" s="3" t="str">
        <f>IF(ATALI[[#This Row],[ID NOTA]]="","",INDEX([6]!NOTA[TGL_H],MATCH(ATALI[[#This Row],[ID NOTA]],[6]!NOTA[ID],0)))</f>
        <v/>
      </c>
      <c r="H264" s="3" t="str">
        <f>IF(ATALI[[#This Row],[ID NOTA]]="","",INDEX([6]!NOTA[TGL.NOTA],MATCH(ATALI[[#This Row],[ID NOTA]],[6]!NOTA[ID],0)))</f>
        <v/>
      </c>
      <c r="I264" s="4" t="str">
        <f>IF(ATALI[[#This Row],[ID NOTA]]="","",INDEX([6]!NOTA[NO.NOTA],MATCH(ATALI[[#This Row],[ID NOTA]],[6]!NOTA[ID],0)))</f>
        <v/>
      </c>
      <c r="J264" s="4" t="s">
        <v>136</v>
      </c>
      <c r="K264" s="6" t="str">
        <f ca="1">IF(ATALI[[#This Row],[//]]="","",IF(INDEX([6]!NOTA[C],ATALI[[#This Row],[//]]-2)="","",INDEX([6]!NOTA[C],ATALI[[#This Row],[//]]-2)))</f>
        <v/>
      </c>
      <c r="L264" s="6" t="str">
        <f ca="1">IF(ATALI[[#This Row],[//]]="","",INDEX([6]!NOTA[QTY],ATALI[[#This Row],[//]]-2))</f>
        <v/>
      </c>
      <c r="M264" s="6" t="str">
        <f ca="1">IF(ATALI[[#This Row],[//]]="","",INDEX([6]!NOTA[STN],ATALI[[#This Row],[//]]-2))</f>
        <v/>
      </c>
      <c r="N264" s="5" t="str">
        <f ca="1">IF(ATALI[[#This Row],[//]]="","",INDEX([6]!NOTA[HARGA SATUAN],ATALI[[#This Row],[//]]-2))</f>
        <v/>
      </c>
      <c r="O264" s="8" t="str">
        <f ca="1">IF(ATALI[[#This Row],[//]]="","",INDEX([6]!NOTA[DISC 1],ATALI[[#This Row],[//]]-2))</f>
        <v/>
      </c>
      <c r="P264" s="8" t="str">
        <f ca="1">IF(ATALI[[#This Row],[//]]="","",INDEX([6]!NOTA[DISC 2],ATALI[[#This Row],[//]]-2))</f>
        <v/>
      </c>
      <c r="Q264" s="5" t="str">
        <f ca="1">IF(ATALI[[#This Row],[//]]="","",INDEX([6]!NOTA[TOTAL],ATALI[[#This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4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Row],[//]]="","",INDEX([6]!NOTA[NAMA BARANG],ATALI[[#This Row],[//]]-2))</f>
        <v/>
      </c>
      <c r="V264" s="4" t="str">
        <f ca="1">LOWER(SUBSTITUTE(SUBSTITUTE(SUBSTITUTE(SUBSTITUTE(SUBSTITUTE(SUBSTITUTE(SUBSTITUTE(ATALI[[#This Row],[N.B.nota]]," ",""),"-",""),"(",""),")",""),".",""),",",""),"/",""))</f>
        <v/>
      </c>
      <c r="W264" s="4" t="s">
        <v>136</v>
      </c>
      <c r="X264" s="4" t="str">
        <f ca="1">IF(ATALI[[#This Row],[N.B.nota]]="","",ADDRESS(ROW(ATALI[QB]),COLUMN(ATALI[QB]))&amp;":"&amp;ADDRESS(ROW(),COLUMN(ATALI[QB])))</f>
        <v/>
      </c>
      <c r="Y264" s="64" t="str">
        <f ca="1">IF(ATALI[[#This Row],[//]]="","",HYPERLINK("[../DB.xlsx]DB!e"&amp;MATCH(ATALI[[#This Row],[concat]],[4]!db[NB NOTA_C],0)+1,"&gt;"))</f>
        <v/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NOTA]]="","",HYPERLINK("[NOTA_.xlsx]NOTA!e"&amp;INDEX([6]!PAJAK[//],MATCH(ATALI[[#This Row],[ID NOTA]],[6]!PAJAK[ID],0)),"&gt;") )</f>
        <v/>
      </c>
      <c r="D265" s="6" t="str">
        <f>IF(ATALI[[#This Row],[ID NOTA]]="","",INDEX(Table1[QB],MATCH(ATALI[[#This Row],[ID NOTA]],Table1[ID],0)))</f>
        <v/>
      </c>
      <c r="E2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5" s="6"/>
      <c r="G265" s="3" t="str">
        <f>IF(ATALI[[#This Row],[ID NOTA]]="","",INDEX([6]!NOTA[TGL_H],MATCH(ATALI[[#This Row],[ID NOTA]],[6]!NOTA[ID],0)))</f>
        <v/>
      </c>
      <c r="H265" s="3" t="str">
        <f>IF(ATALI[[#This Row],[ID NOTA]]="","",INDEX([6]!NOTA[TGL.NOTA],MATCH(ATALI[[#This Row],[ID NOTA]],[6]!NOTA[ID],0)))</f>
        <v/>
      </c>
      <c r="I265" s="4" t="str">
        <f>IF(ATALI[[#This Row],[ID NOTA]]="","",INDEX([6]!NOTA[NO.NOTA],MATCH(ATALI[[#This Row],[ID NOTA]],[6]!NOTA[ID],0)))</f>
        <v/>
      </c>
      <c r="J265" s="4" t="s">
        <v>136</v>
      </c>
      <c r="K265" s="6" t="str">
        <f ca="1">IF(ATALI[[#This Row],[//]]="","",IF(INDEX([6]!NOTA[C],ATALI[[#This Row],[//]]-2)="","",INDEX([6]!NOTA[C],ATALI[[#This Row],[//]]-2)))</f>
        <v/>
      </c>
      <c r="L265" s="6" t="str">
        <f ca="1">IF(ATALI[[#This Row],[//]]="","",INDEX([6]!NOTA[QTY],ATALI[[#This Row],[//]]-2))</f>
        <v/>
      </c>
      <c r="M265" s="6" t="str">
        <f ca="1">IF(ATALI[[#This Row],[//]]="","",INDEX([6]!NOTA[STN],ATALI[[#This Row],[//]]-2))</f>
        <v/>
      </c>
      <c r="N265" s="5" t="str">
        <f ca="1">IF(ATALI[[#This Row],[//]]="","",INDEX([6]!NOTA[HARGA SATUAN],ATALI[[#This Row],[//]]-2))</f>
        <v/>
      </c>
      <c r="O265" s="8" t="str">
        <f ca="1">IF(ATALI[[#This Row],[//]]="","",INDEX([6]!NOTA[DISC 1],ATALI[[#This Row],[//]]-2))</f>
        <v/>
      </c>
      <c r="P265" s="8" t="str">
        <f ca="1">IF(ATALI[[#This Row],[//]]="","",INDEX([6]!NOTA[DISC 2],ATALI[[#This Row],[//]]-2))</f>
        <v/>
      </c>
      <c r="Q265" s="5" t="str">
        <f ca="1">IF(ATALI[[#This Row],[//]]="","",INDEX([6]!NOTA[TOTAL],ATALI[[#This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5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Row],[//]]="","",INDEX([6]!NOTA[NAMA BARANG],ATALI[[#This Row],[//]]-2))</f>
        <v/>
      </c>
      <c r="V265" s="4" t="str">
        <f ca="1">LOWER(SUBSTITUTE(SUBSTITUTE(SUBSTITUTE(SUBSTITUTE(SUBSTITUTE(SUBSTITUTE(SUBSTITUTE(ATALI[[#This Row],[N.B.nota]]," ",""),"-",""),"(",""),")",""),".",""),",",""),"/",""))</f>
        <v/>
      </c>
      <c r="W265" s="4" t="s">
        <v>136</v>
      </c>
      <c r="X265" s="4" t="str">
        <f ca="1">IF(ATALI[[#This Row],[N.B.nota]]="","",ADDRESS(ROW(ATALI[QB]),COLUMN(ATALI[QB]))&amp;":"&amp;ADDRESS(ROW(),COLUMN(ATALI[QB])))</f>
        <v/>
      </c>
      <c r="Y265" s="64" t="str">
        <f ca="1">IF(ATALI[[#This Row],[//]]="","",HYPERLINK("[../DB.xlsx]DB!e"&amp;MATCH(ATALI[[#This Row],[concat]],[4]!db[NB NOTA_C],0)+1,"&gt;"))</f>
        <v/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NOTA]]="","",HYPERLINK("[NOTA_.xlsx]NOTA!e"&amp;INDEX([6]!PAJAK[//],MATCH(ATALI[[#This Row],[ID NOTA]],[6]!PAJAK[ID],0)),"&gt;") )</f>
        <v/>
      </c>
      <c r="D266" s="6" t="str">
        <f>IF(ATALI[[#This Row],[ID NOTA]]="","",INDEX(Table1[QB],MATCH(ATALI[[#This Row],[ID NOTA]],Table1[ID],0)))</f>
        <v/>
      </c>
      <c r="E2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6" s="6"/>
      <c r="G266" s="3" t="str">
        <f>IF(ATALI[[#This Row],[ID NOTA]]="","",INDEX([6]!NOTA[TGL_H],MATCH(ATALI[[#This Row],[ID NOTA]],[6]!NOTA[ID],0)))</f>
        <v/>
      </c>
      <c r="H266" s="3" t="str">
        <f>IF(ATALI[[#This Row],[ID NOTA]]="","",INDEX([6]!NOTA[TGL.NOTA],MATCH(ATALI[[#This Row],[ID NOTA]],[6]!NOTA[ID],0)))</f>
        <v/>
      </c>
      <c r="I266" s="4" t="str">
        <f>IF(ATALI[[#This Row],[ID NOTA]]="","",INDEX([6]!NOTA[NO.NOTA],MATCH(ATALI[[#This Row],[ID NOTA]],[6]!NOTA[ID],0)))</f>
        <v/>
      </c>
      <c r="J266" s="4" t="s">
        <v>136</v>
      </c>
      <c r="K266" s="6" t="str">
        <f ca="1">IF(ATALI[[#This Row],[//]]="","",IF(INDEX([6]!NOTA[C],ATALI[[#This Row],[//]]-2)="","",INDEX([6]!NOTA[C],ATALI[[#This Row],[//]]-2)))</f>
        <v/>
      </c>
      <c r="L266" s="6" t="str">
        <f ca="1">IF(ATALI[[#This Row],[//]]="","",INDEX([6]!NOTA[QTY],ATALI[[#This Row],[//]]-2))</f>
        <v/>
      </c>
      <c r="M266" s="6" t="str">
        <f ca="1">IF(ATALI[[#This Row],[//]]="","",INDEX([6]!NOTA[STN],ATALI[[#This Row],[//]]-2))</f>
        <v/>
      </c>
      <c r="N266" s="5" t="str">
        <f ca="1">IF(ATALI[[#This Row],[//]]="","",INDEX([6]!NOTA[HARGA SATUAN],ATALI[[#This Row],[//]]-2))</f>
        <v/>
      </c>
      <c r="O266" s="8" t="str">
        <f ca="1">IF(ATALI[[#This Row],[//]]="","",INDEX([6]!NOTA[DISC 1],ATALI[[#This Row],[//]]-2))</f>
        <v/>
      </c>
      <c r="P266" s="8" t="str">
        <f ca="1">IF(ATALI[[#This Row],[//]]="","",INDEX([6]!NOTA[DISC 2],ATALI[[#This Row],[//]]-2))</f>
        <v/>
      </c>
      <c r="Q266" s="5" t="str">
        <f ca="1">IF(ATALI[[#This Row],[//]]="","",INDEX([6]!NOTA[TOTAL],ATALI[[#This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Row],[//]]="","",INDEX([6]!NOTA[NAMA BARANG],ATALI[[#This Row],[//]]-2))</f>
        <v/>
      </c>
      <c r="V266" s="4" t="str">
        <f ca="1">LOWER(SUBSTITUTE(SUBSTITUTE(SUBSTITUTE(SUBSTITUTE(SUBSTITUTE(SUBSTITUTE(SUBSTITUTE(ATALI[[#This Row],[N.B.nota]]," ",""),"-",""),"(",""),")",""),".",""),",",""),"/",""))</f>
        <v/>
      </c>
      <c r="W266" s="4" t="s">
        <v>136</v>
      </c>
      <c r="X266" s="4" t="str">
        <f ca="1">IF(ATALI[[#This Row],[N.B.nota]]="","",ADDRESS(ROW(ATALI[QB]),COLUMN(ATALI[QB]))&amp;":"&amp;ADDRESS(ROW(),COLUMN(ATALI[QB])))</f>
        <v/>
      </c>
      <c r="Y266" s="64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NOTA]]="","",HYPERLINK("[NOTA_.xlsx]NOTA!e"&amp;INDEX([6]!PAJAK[//],MATCH(ATALI[[#This Row],[ID NOTA]],[6]!PAJAK[ID],0)),"&gt;") )</f>
        <v/>
      </c>
      <c r="D267" s="6" t="str">
        <f>IF(ATALI[[#This Row],[ID NOTA]]="","",INDEX(Table1[QB],MATCH(ATALI[[#This Row],[ID NOTA]],Table1[ID],0)))</f>
        <v/>
      </c>
      <c r="E2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7" s="6"/>
      <c r="G267" s="3" t="str">
        <f>IF(ATALI[[#This Row],[ID NOTA]]="","",INDEX([6]!NOTA[TGL_H],MATCH(ATALI[[#This Row],[ID NOTA]],[6]!NOTA[ID],0)))</f>
        <v/>
      </c>
      <c r="H267" s="3" t="str">
        <f>IF(ATALI[[#This Row],[ID NOTA]]="","",INDEX([6]!NOTA[TGL.NOTA],MATCH(ATALI[[#This Row],[ID NOTA]],[6]!NOTA[ID],0)))</f>
        <v/>
      </c>
      <c r="I267" s="4" t="str">
        <f>IF(ATALI[[#This Row],[ID NOTA]]="","",INDEX([6]!NOTA[NO.NOTA],MATCH(ATALI[[#This Row],[ID NOTA]],[6]!NOTA[ID],0)))</f>
        <v/>
      </c>
      <c r="J267" s="4" t="s">
        <v>136</v>
      </c>
      <c r="K267" s="6" t="str">
        <f ca="1">IF(ATALI[[#This Row],[//]]="","",IF(INDEX([6]!NOTA[C],ATALI[[#This Row],[//]]-2)="","",INDEX([6]!NOTA[C],ATALI[[#This Row],[//]]-2)))</f>
        <v/>
      </c>
      <c r="L267" s="6" t="str">
        <f ca="1">IF(ATALI[[#This Row],[//]]="","",INDEX([6]!NOTA[QTY],ATALI[[#This Row],[//]]-2))</f>
        <v/>
      </c>
      <c r="M267" s="6" t="str">
        <f ca="1">IF(ATALI[[#This Row],[//]]="","",INDEX([6]!NOTA[STN],ATALI[[#This Row],[//]]-2))</f>
        <v/>
      </c>
      <c r="N267" s="5" t="str">
        <f ca="1">IF(ATALI[[#This Row],[//]]="","",INDEX([6]!NOTA[HARGA SATUAN],ATALI[[#This Row],[//]]-2))</f>
        <v/>
      </c>
      <c r="O267" s="8" t="str">
        <f ca="1">IF(ATALI[[#This Row],[//]]="","",INDEX([6]!NOTA[DISC 1],ATALI[[#This Row],[//]]-2))</f>
        <v/>
      </c>
      <c r="P267" s="8" t="str">
        <f ca="1">IF(ATALI[[#This Row],[//]]="","",INDEX([6]!NOTA[DISC 2],ATALI[[#This Row],[//]]-2))</f>
        <v/>
      </c>
      <c r="Q267" s="5" t="str">
        <f ca="1">IF(ATALI[[#This Row],[//]]="","",INDEX([6]!NOTA[TOTAL],ATALI[[#This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Row],[//]]="","",INDEX([6]!NOTA[NAMA BARANG],ATALI[[#This Row],[//]]-2))</f>
        <v/>
      </c>
      <c r="V267" s="4" t="str">
        <f ca="1">LOWER(SUBSTITUTE(SUBSTITUTE(SUBSTITUTE(SUBSTITUTE(SUBSTITUTE(SUBSTITUTE(SUBSTITUTE(ATALI[[#This Row],[N.B.nota]]," ",""),"-",""),"(",""),")",""),".",""),",",""),"/",""))</f>
        <v/>
      </c>
      <c r="W267" s="4" t="s">
        <v>136</v>
      </c>
      <c r="X267" s="4" t="str">
        <f ca="1">IF(ATALI[[#This Row],[N.B.nota]]="","",ADDRESS(ROW(ATALI[QB]),COLUMN(ATALI[QB]))&amp;":"&amp;ADDRESS(ROW(),COLUMN(ATALI[QB])))</f>
        <v/>
      </c>
      <c r="Y267" s="64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NOTA]]="","",HYPERLINK("[NOTA_.xlsx]NOTA!e"&amp;INDEX([6]!PAJAK[//],MATCH(ATALI[[#This Row],[ID NOTA]],[6]!PAJAK[ID],0)),"&gt;") )</f>
        <v/>
      </c>
      <c r="D268" s="6" t="str">
        <f>IF(ATALI[[#This Row],[ID NOTA]]="","",INDEX(Table1[QB],MATCH(ATALI[[#This Row],[ID NOTA]],Table1[ID],0)))</f>
        <v/>
      </c>
      <c r="E2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8" s="6"/>
      <c r="G268" s="3" t="str">
        <f>IF(ATALI[[#This Row],[ID NOTA]]="","",INDEX([6]!NOTA[TGL_H],MATCH(ATALI[[#This Row],[ID NOTA]],[6]!NOTA[ID],0)))</f>
        <v/>
      </c>
      <c r="H268" s="3" t="str">
        <f>IF(ATALI[[#This Row],[ID NOTA]]="","",INDEX([6]!NOTA[TGL.NOTA],MATCH(ATALI[[#This Row],[ID NOTA]],[6]!NOTA[ID],0)))</f>
        <v/>
      </c>
      <c r="I268" s="4" t="str">
        <f>IF(ATALI[[#This Row],[ID NOTA]]="","",INDEX([6]!NOTA[NO.NOTA],MATCH(ATALI[[#This Row],[ID NOTA]],[6]!NOTA[ID],0)))</f>
        <v/>
      </c>
      <c r="J268" s="4" t="s">
        <v>136</v>
      </c>
      <c r="K268" s="6" t="str">
        <f ca="1">IF(ATALI[[#This Row],[//]]="","",IF(INDEX([6]!NOTA[C],ATALI[[#This Row],[//]]-2)="","",INDEX([6]!NOTA[C],ATALI[[#This Row],[//]]-2)))</f>
        <v/>
      </c>
      <c r="L268" s="6" t="str">
        <f ca="1">IF(ATALI[[#This Row],[//]]="","",INDEX([6]!NOTA[QTY],ATALI[[#This Row],[//]]-2))</f>
        <v/>
      </c>
      <c r="M268" s="6" t="str">
        <f ca="1">IF(ATALI[[#This Row],[//]]="","",INDEX([6]!NOTA[STN],ATALI[[#This Row],[//]]-2))</f>
        <v/>
      </c>
      <c r="N268" s="5" t="str">
        <f ca="1">IF(ATALI[[#This Row],[//]]="","",INDEX([6]!NOTA[HARGA SATUAN],ATALI[[#This Row],[//]]-2))</f>
        <v/>
      </c>
      <c r="O268" s="8" t="str">
        <f ca="1">IF(ATALI[[#This Row],[//]]="","",INDEX([6]!NOTA[DISC 1],ATALI[[#This Row],[//]]-2))</f>
        <v/>
      </c>
      <c r="P268" s="8" t="str">
        <f ca="1">IF(ATALI[[#This Row],[//]]="","",INDEX([6]!NOTA[DISC 2],ATALI[[#This Row],[//]]-2))</f>
        <v/>
      </c>
      <c r="Q268" s="5" t="str">
        <f ca="1">IF(ATALI[[#This Row],[//]]="","",INDEX([6]!NOTA[TOTAL],ATALI[[#This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Row],[//]]="","",INDEX([6]!NOTA[NAMA BARANG],ATALI[[#This Row],[//]]-2))</f>
        <v/>
      </c>
      <c r="V268" s="4" t="str">
        <f ca="1">LOWER(SUBSTITUTE(SUBSTITUTE(SUBSTITUTE(SUBSTITUTE(SUBSTITUTE(SUBSTITUTE(SUBSTITUTE(ATALI[[#This Row],[N.B.nota]]," ",""),"-",""),"(",""),")",""),".",""),",",""),"/",""))</f>
        <v/>
      </c>
      <c r="W268" s="4" t="s">
        <v>136</v>
      </c>
      <c r="X268" s="4" t="str">
        <f ca="1">IF(ATALI[[#This Row],[N.B.nota]]="","",ADDRESS(ROW(ATALI[QB]),COLUMN(ATALI[QB]))&amp;":"&amp;ADDRESS(ROW(),COLUMN(ATALI[QB])))</f>
        <v/>
      </c>
      <c r="Y268" s="64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NOTA]]="","",HYPERLINK("[NOTA_.xlsx]NOTA!e"&amp;INDEX([6]!PAJAK[//],MATCH(ATALI[[#This Row],[ID NOTA]],[6]!PAJAK[ID],0)),"&gt;") )</f>
        <v/>
      </c>
      <c r="D269" s="6" t="str">
        <f>IF(ATALI[[#This Row],[ID NOTA]]="","",INDEX(Table1[QB],MATCH(ATALI[[#This Row],[ID NOTA]],Table1[ID],0)))</f>
        <v/>
      </c>
      <c r="E2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9" s="6"/>
      <c r="G269" s="3" t="str">
        <f>IF(ATALI[[#This Row],[ID NOTA]]="","",INDEX([6]!NOTA[TGL_H],MATCH(ATALI[[#This Row],[ID NOTA]],[6]!NOTA[ID],0)))</f>
        <v/>
      </c>
      <c r="H269" s="3" t="str">
        <f>IF(ATALI[[#This Row],[ID NOTA]]="","",INDEX([6]!NOTA[TGL.NOTA],MATCH(ATALI[[#This Row],[ID NOTA]],[6]!NOTA[ID],0)))</f>
        <v/>
      </c>
      <c r="I269" s="4" t="str">
        <f>IF(ATALI[[#This Row],[ID NOTA]]="","",INDEX([6]!NOTA[NO.NOTA],MATCH(ATALI[[#This Row],[ID NOTA]],[6]!NOTA[ID],0)))</f>
        <v/>
      </c>
      <c r="J269" s="4" t="s">
        <v>136</v>
      </c>
      <c r="K269" s="6" t="str">
        <f ca="1">IF(ATALI[[#This Row],[//]]="","",IF(INDEX([6]!NOTA[C],ATALI[[#This Row],[//]]-2)="","",INDEX([6]!NOTA[C],ATALI[[#This Row],[//]]-2)))</f>
        <v/>
      </c>
      <c r="L269" s="6" t="str">
        <f ca="1">IF(ATALI[[#This Row],[//]]="","",INDEX([6]!NOTA[QTY],ATALI[[#This Row],[//]]-2))</f>
        <v/>
      </c>
      <c r="M269" s="6" t="str">
        <f ca="1">IF(ATALI[[#This Row],[//]]="","",INDEX([6]!NOTA[STN],ATALI[[#This Row],[//]]-2))</f>
        <v/>
      </c>
      <c r="N269" s="5" t="str">
        <f ca="1">IF(ATALI[[#This Row],[//]]="","",INDEX([6]!NOTA[HARGA SATUAN],ATALI[[#This Row],[//]]-2))</f>
        <v/>
      </c>
      <c r="O269" s="8" t="str">
        <f ca="1">IF(ATALI[[#This Row],[//]]="","",INDEX([6]!NOTA[DISC 1],ATALI[[#This Row],[//]]-2))</f>
        <v/>
      </c>
      <c r="P269" s="8" t="str">
        <f ca="1">IF(ATALI[[#This Row],[//]]="","",INDEX([6]!NOTA[DISC 2],ATALI[[#This Row],[//]]-2))</f>
        <v/>
      </c>
      <c r="Q269" s="5" t="str">
        <f ca="1">IF(ATALI[[#This Row],[//]]="","",INDEX([6]!NOTA[TOTAL],ATALI[[#This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Row],[//]]="","",INDEX([6]!NOTA[NAMA BARANG],ATALI[[#This Row],[//]]-2))</f>
        <v/>
      </c>
      <c r="V269" s="4" t="str">
        <f ca="1">LOWER(SUBSTITUTE(SUBSTITUTE(SUBSTITUTE(SUBSTITUTE(SUBSTITUTE(SUBSTITUTE(SUBSTITUTE(ATALI[[#This Row],[N.B.nota]]," ",""),"-",""),"(",""),")",""),".",""),",",""),"/",""))</f>
        <v/>
      </c>
      <c r="W269" s="4" t="s">
        <v>136</v>
      </c>
      <c r="X269" s="4" t="str">
        <f ca="1">IF(ATALI[[#This Row],[N.B.nota]]="","",ADDRESS(ROW(ATALI[QB]),COLUMN(ATALI[QB]))&amp;":"&amp;ADDRESS(ROW(),COLUMN(ATALI[QB])))</f>
        <v/>
      </c>
      <c r="Y269" s="64" t="str">
        <f ca="1">IF(ATALI[[#This Row],[//]]="","",HYPERLINK("[../DB.xlsx]DB!e"&amp;MATCH(ATALI[[#This Row],[concat]],[4]!db[NB NOTA_C],0)+1,"&gt;"))</f>
        <v/>
      </c>
    </row>
  </sheetData>
  <conditionalFormatting sqref="A97:A101">
    <cfRule type="duplicateValues" dxfId="16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A130" zoomScale="85" zoomScaleNormal="85" workbookViewId="0">
      <selection activeCell="A128" sqref="A128"/>
    </sheetView>
  </sheetViews>
  <sheetFormatPr defaultRowHeight="15" outlineLevelCol="1" x14ac:dyDescent="0.25"/>
  <cols>
    <col min="1" max="1" width="11.28515625" customWidth="1"/>
    <col min="2" max="2" width="4.42578125" customWidth="1"/>
    <col min="3" max="3" width="4.5703125" style="1" customWidth="1"/>
    <col min="4" max="4" width="3.42578125" customWidth="1"/>
    <col min="5" max="5" width="7.140625" customWidth="1"/>
    <col min="6" max="6" width="1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5" width="7.140625" customWidth="1"/>
    <col min="16" max="16" width="6.140625" customWidth="1"/>
    <col min="17" max="19" width="12.7109375" customWidth="1"/>
    <col min="20" max="20" width="17.7109375" customWidth="1"/>
    <col min="21" max="21" width="45.85546875" hidden="1" customWidth="1" outlineLevel="1"/>
    <col min="22" max="22" width="38.5703125" hidden="1" customWidth="1" outlineLevel="1"/>
    <col min="23" max="23" width="4.7109375" hidden="1" customWidth="1" outlineLevel="1"/>
    <col min="24" max="24" width="11.42578125" hidden="1" customWidth="1" outlineLevel="1"/>
    <col min="25" max="25" width="2.7109375" customWidth="1" collapsed="1"/>
  </cols>
  <sheetData>
    <row r="1" spans="1:25" x14ac:dyDescent="0.25">
      <c r="L1" s="1"/>
      <c r="M1" s="1"/>
    </row>
    <row r="2" spans="1:25" ht="90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2" t="s">
        <v>51</v>
      </c>
      <c r="B3" s="9">
        <f ca="1">IF(KENKO[[#This Row],[N_ID]]="","",INDEX(Table1[ID],MATCH(KENKO[[#This Row],[N_ID]],Table1[N_ID],0)))</f>
        <v>2</v>
      </c>
      <c r="C3" s="9" t="str">
        <f ca="1">IF(KENKO[[#This Row],[ID NOTA]]="","",HYPERLINK("[NOTA_.xlsx]NOTA!e"&amp;INDEX([6]!PAJAK[//],MATCH(KENKO[[#This Row],[ID NOTA]],[6]!PAJAK[ID],0)),"&gt;") )</f>
        <v>&gt;</v>
      </c>
      <c r="D3" s="9">
        <f ca="1">IF(KENKO[[#This Row],[ID NOTA]]="","",INDEX(Table1[QB],MATCH(KENKO[[#This Row],[ID NOTA]],Table1[ID],0)))</f>
        <v>1</v>
      </c>
      <c r="E3" s="9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</v>
      </c>
      <c r="F3" s="9" t="e">
        <f ca="1">IF(KENKO[[#This Row],[NO. NOTA]]="","",INDEX([5]KE!$A:$A,MATCH(KENKO[[#This Row],[NO. NOTA]],[5]KE!$D:$D,0)))</f>
        <v>#N/A</v>
      </c>
      <c r="G3" s="10">
        <f ca="1">IF(KENKO[[#This Row],[ID NOTA]]="","",INDEX([6]!NOTA[TGL_H],MATCH(KENKO[[#This Row],[ID NOTA]],[6]!NOTA[ID],0)))</f>
        <v>44743</v>
      </c>
      <c r="H3" s="10">
        <f ca="1">IF(KENKO[[#This Row],[ID NOTA]]="","",INDEX([6]!NOTA[TGL.NOTA],MATCH(KENKO[[#This Row],[ID NOTA]],[6]!NOTA[ID],0)))</f>
        <v>44743</v>
      </c>
      <c r="I3" s="17" t="str">
        <f ca="1">IF(KENKO[[#This Row],[ID NOTA]]="","",INDEX([6]!NOTA[NO.NOTA],MATCH(KENKO[[#This Row],[ID NOTA]],[6]!NOTA[ID],0)))</f>
        <v>22070019</v>
      </c>
      <c r="J3" s="17" t="s">
        <v>166</v>
      </c>
      <c r="K3" s="9" t="str">
        <f>""</f>
        <v/>
      </c>
      <c r="L3" s="9">
        <f ca="1">IF(KENKO[//]="","",IF(INDEX([6]!NOTA[QTY],KENKO[//]-2)="",INDEX([6]!NOTA[C],KENKO[//]-2),INDEX([6]!NOTA[QTY],KENKO[//]-2)))</f>
        <v>4</v>
      </c>
      <c r="M3" s="9" t="str">
        <f ca="1">IF(KENKO[//]="","",IF(INDEX([6]!NOTA[STN],KENKO[//]-2)="","CTN",INDEX([6]!NOTA[STN],KENKO[//]-2)))</f>
        <v>CTN</v>
      </c>
      <c r="N3" s="18">
        <f ca="1">IF(KENKO[[#This Row],[//]]="","",IF(INDEX([6]!NOTA[HARGA/ CTN],KENKO[[#This Row],[//]]-2)="",INDEX([6]!NOTA[HARGA SATUAN],KENKO[//]-2),INDEX([6]!NOTA[HARGA/ CTN],KENKO[[#This Row],[//]]-2)))</f>
        <v>1440000</v>
      </c>
      <c r="O3" s="20">
        <f ca="1">IF(KENKO[[#This Row],[//]]="","",INDEX([6]!NOTA[DISC 1],KENKO[[#This Row],[//]]-2))</f>
        <v>0.17</v>
      </c>
      <c r="P3" s="20">
        <f ca="1">IF(KENKO[[#This Row],[//]]="","",INDEX([6]!NOTA[DISC 2],KENKO[[#This Row],[//]]-2))</f>
        <v>0</v>
      </c>
      <c r="Q3" s="11">
        <f ca="1">IF(KENKO[[#This Row],[//]]="","",INDEX([6]!NOTA[JUMLAH],KENKO[[#This Row],[//]]-2)*(100%-IF(ISNUMBER(KENKO[[#This Row],[DISC 1 (%)]]),KENKO[[#This Row],[DISC 1 (%)]],0)))</f>
        <v>4780800</v>
      </c>
      <c r="R3" s="18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979200.00000000012</v>
      </c>
      <c r="S3" s="18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4780800</v>
      </c>
      <c r="T3" s="1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7" t="str">
        <f ca="1">IF(KENKO[[#This Row],[//]]="","",INDEX([6]!NOTA[NAMA BARANG],KENKO[[#This Row],[//]]-2))</f>
        <v>KENKO PENCIL CASE PC-0719-PASTEL</v>
      </c>
      <c r="V3" s="17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3" s="17" t="s">
        <v>137</v>
      </c>
      <c r="X3" s="17" t="str">
        <f ca="1">IF(KENKO[[#This Row],[N.B.nota]]="","",ADDRESS(ROW(KENKO[QB]),COLUMN(KENKO[QB]))&amp;":"&amp;ADDRESS(ROW(),COLUMN(KENKO[QB])))</f>
        <v>$D$3:$D$3</v>
      </c>
      <c r="Y3" s="17" t="str">
        <f ca="1">IF(KENKO[[#This Row],[//]]="","",HYPERLINK("[..\\DB.xlsx]DB!e"&amp;MATCH(KENKO[[#This Row],[concat]],[4]!db[NB NOTA_C],0)+1,"&gt;"))</f>
        <v>&gt;</v>
      </c>
    </row>
    <row r="4" spans="1:25" x14ac:dyDescent="0.25">
      <c r="A4" s="9"/>
      <c r="B4" s="9" t="str">
        <f>IF(KENKO[[#This Row],[N_ID]]="","",INDEX(Table1[ID],MATCH(KENKO[[#This Row],[N_ID]],Table1[N_ID],0)))</f>
        <v/>
      </c>
      <c r="C4" s="9" t="str">
        <f>IF(KENKO[[#This Row],[ID NOTA]]="","",HYPERLINK("[NOTA_.xlsx]NOTA!e"&amp;INDEX([6]!PAJAK[//],MATCH(KENKO[[#This Row],[ID NOTA]],[6]!PAJAK[ID],0)),"&gt;") )</f>
        <v/>
      </c>
      <c r="D4" s="9" t="str">
        <f>IF(KENKO[[#This Row],[ID NOTA]]="","",INDEX(Table1[QB],MATCH(KENKO[[#This Row],[ID NOTA]],Table1[ID],0)))</f>
        <v/>
      </c>
      <c r="E4" s="9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" s="9" t="str">
        <f>IF(KENKO[[#This Row],[NO. NOTA]]="","",INDEX([5]KE!$A:$A,MATCH(KENKO[[#This Row],[NO. NOTA]],[5]KE!$D:$D,0)))</f>
        <v/>
      </c>
      <c r="G4" s="10" t="str">
        <f>IF(KENKO[[#This Row],[ID NOTA]]="","",INDEX([6]!NOTA[TGL_H],MATCH(KENKO[[#This Row],[ID NOTA]],[6]!NOTA[ID],0)))</f>
        <v/>
      </c>
      <c r="H4" s="10" t="str">
        <f>IF(KENKO[[#This Row],[ID NOTA]]="","",INDEX([6]!NOTA[TGL.NOTA],MATCH(KENKO[[#This Row],[ID NOTA]],[6]!NOTA[ID],0)))</f>
        <v/>
      </c>
      <c r="I4" s="17" t="str">
        <f>IF(KENKO[[#This Row],[ID NOTA]]="","",INDEX([6]!NOTA[NO.NOTA],MATCH(KENKO[[#This Row],[ID NOTA]],[6]!NOTA[ID],0)))</f>
        <v/>
      </c>
      <c r="J4" s="9" t="s">
        <v>136</v>
      </c>
      <c r="K4" s="9" t="str">
        <f>""</f>
        <v/>
      </c>
      <c r="L4" s="9" t="str">
        <f ca="1">IF(KENKO[//]="","",IF(INDEX([6]!NOTA[QTY],KENKO[//]-2)="",INDEX([6]!NOTA[C],KENKO[//]-2),INDEX([6]!NOTA[QTY],KENKO[//]-2)))</f>
        <v/>
      </c>
      <c r="M4" s="9" t="str">
        <f ca="1">IF(KENKO[//]="","",IF(INDEX([6]!NOTA[STN],KENKO[//]-2)="","CTN",INDEX([6]!NOTA[STN],KENKO[//]-2)))</f>
        <v/>
      </c>
      <c r="N4" s="11" t="str">
        <f ca="1">IF(KENKO[[#This Row],[//]]="","",IF(INDEX([6]!NOTA[HARGA/ CTN],KENKO[[#This Row],[//]]-2)="",INDEX([6]!NOTA[HARGA SATUAN],KENKO[//]-2),INDEX([6]!NOTA[HARGA/ CTN],KENKO[[#This Row],[//]]-2)))</f>
        <v/>
      </c>
      <c r="O4" s="12" t="str">
        <f ca="1">IF(KENKO[[#This Row],[//]]="","",INDEX([6]!NOTA[DISC 1],KENKO[[#This Row],[//]]-2))</f>
        <v/>
      </c>
      <c r="P4" s="12" t="str">
        <f ca="1">IF(KENKO[[#This Row],[//]]="","",INDEX([6]!NOTA[DISC 2],KENKO[[#This Row],[//]]-2))</f>
        <v/>
      </c>
      <c r="Q4" s="11" t="str">
        <f ca="1">IF(KENKO[[#This Row],[//]]="","",INDEX([6]!NOTA[JUMLAH],KENKO[[#This Row],[//]]-2)*(100%-IF(ISNUMBER(KENKO[[#This Row],[DISC 1 (%)]]),KENKO[[#This Row],[DISC 1 (%)]],0)))</f>
        <v/>
      </c>
      <c r="R4" s="11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" s="11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" s="1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9" t="str">
        <f ca="1">IF(KENKO[[#This Row],[//]]="","",INDEX([6]!NOTA[NAMA BARANG],KENKO[[#This Row],[//]]-2))</f>
        <v/>
      </c>
      <c r="V4" s="9" t="str">
        <f ca="1">LOWER(SUBSTITUTE(SUBSTITUTE(SUBSTITUTE(SUBSTITUTE(SUBSTITUTE(SUBSTITUTE(SUBSTITUTE(SUBSTITUTE(KENKO[[#This Row],[N.B.nota]]," ",""),"-",""),"(",""),")",""),".",""),",",""),"/",""),"""",""))</f>
        <v/>
      </c>
      <c r="W4" s="9" t="s">
        <v>136</v>
      </c>
      <c r="X4" s="9" t="str">
        <f ca="1">IF(KENKO[[#This Row],[N.B.nota]]="","",ADDRESS(ROW(KENKO[QB]),COLUMN(KENKO[QB]))&amp;":"&amp;ADDRESS(ROW(),COLUMN(KENKO[QB])))</f>
        <v/>
      </c>
      <c r="Y4" s="9" t="str">
        <f ca="1">IF(KENKO[[#This Row],[//]]="","",HYPERLINK("[..\\DB.xlsx]DB!e"&amp;MATCH(KENKO[[#This Row],[concat]],[4]!db[NB NOTA_C],0)+1,"&gt;"))</f>
        <v/>
      </c>
    </row>
    <row r="5" spans="1:25" x14ac:dyDescent="0.25">
      <c r="A5" s="4" t="s">
        <v>19</v>
      </c>
      <c r="B5" s="1">
        <f ca="1">IF(KENKO[[#This Row],[N_ID]]="","",INDEX(Table1[ID],MATCH(KENKO[[#This Row],[N_ID]],Table1[N_ID],0)))</f>
        <v>13</v>
      </c>
      <c r="C5" s="1" t="str">
        <f ca="1">IF(KENKO[[#This Row],[ID NOTA]]="","",HYPERLINK("[NOTA_.xlsx]NOTA!e"&amp;INDEX([6]!PAJAK[//],MATCH(KENKO[[#This Row],[ID NOTA]],[6]!PAJAK[ID],0)),"&gt;") )</f>
        <v>&gt;</v>
      </c>
      <c r="D5" s="1">
        <f ca="1">IF(KENKO[[#This Row],[ID NOTA]]="","",INDEX(Table1[QB],MATCH(KENKO[[#This Row],[ID NOTA]],Table1[ID],0)))</f>
        <v>3</v>
      </c>
      <c r="E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84</v>
      </c>
      <c r="F5" s="1" t="e">
        <f ca="1">IF(KENKO[[#This Row],[NO. NOTA]]="","",INDEX([5]KE!$A:$A,MATCH(KENKO[[#This Row],[NO. NOTA]],[5]KE!$D:$D,0)))</f>
        <v>#N/A</v>
      </c>
      <c r="G5" s="3">
        <f ca="1">IF(KENKO[[#This Row],[ID NOTA]]="","",INDEX([6]!NOTA[TGL_H],MATCH(KENKO[[#This Row],[ID NOTA]],[6]!NOTA[ID],0)))</f>
        <v>44744</v>
      </c>
      <c r="H5" s="3">
        <f ca="1">IF(KENKO[[#This Row],[ID NOTA]]="","",INDEX([6]!NOTA[TGL.NOTA],MATCH(KENKO[[#This Row],[ID NOTA]],[6]!NOTA[ID],0)))</f>
        <v>44743</v>
      </c>
      <c r="I5" s="2" t="str">
        <f ca="1">IF(KENKO[[#This Row],[ID NOTA]]="","",INDEX([6]!NOTA[NO.NOTA],MATCH(KENKO[[#This Row],[ID NOTA]],[6]!NOTA[ID],0)))</f>
        <v>22070026</v>
      </c>
      <c r="J5" t="s">
        <v>167</v>
      </c>
      <c r="K5" s="1" t="str">
        <f>""</f>
        <v/>
      </c>
      <c r="L5" s="1">
        <f ca="1">IF(KENKO[//]="","",IF(INDEX([6]!NOTA[QTY],KENKO[//]-2)="",INDEX([6]!NOTA[C],KENKO[//]-2),INDEX([6]!NOTA[QTY],KENKO[//]-2)))</f>
        <v>10</v>
      </c>
      <c r="M5" s="1" t="str">
        <f ca="1">IF(KENKO[//]="","",IF(INDEX([6]!NOTA[STN],KENKO[//]-2)="","CTN",INDEX([6]!NOTA[STN],KENKO[//]-2)))</f>
        <v>CTN</v>
      </c>
      <c r="N5" s="5">
        <f ca="1">IF(KENKO[[#This Row],[//]]="","",IF(INDEX([6]!NOTA[HARGA/ CTN],KENKO[[#This Row],[//]]-2)="",INDEX([6]!NOTA[HARGA SATUAN],KENKO[//]-2),INDEX([6]!NOTA[HARGA/ CTN],KENKO[[#This Row],[//]]-2)))</f>
        <v>1900800</v>
      </c>
      <c r="O5" s="8">
        <f ca="1">IF(KENKO[[#This Row],[//]]="","",INDEX([6]!NOTA[DISC 1],KENKO[[#This Row],[//]]-2))</f>
        <v>0.17</v>
      </c>
      <c r="P5" s="8">
        <f ca="1">IF(KENKO[[#This Row],[//]]="","",INDEX([6]!NOTA[DISC 2],KENKO[[#This Row],[//]]-2))</f>
        <v>0</v>
      </c>
      <c r="Q5" s="5">
        <f ca="1">IF(KENKO[[#This Row],[//]]="","",INDEX([6]!NOTA[JUMLAH],KENKO[[#This Row],[//]]-2)*(100%-IF(ISNUMBER(KENKO[[#This Row],[DISC 1 (%)]]),KENKO[[#This Row],[DISC 1 (%)]],0)))</f>
        <v>15776640</v>
      </c>
      <c r="R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t="str">
        <f ca="1">IF(KENKO[[#This Row],[//]]="","",INDEX([6]!NOTA[NAMA BARANG],KENKO[[#This Row],[//]]-2))</f>
        <v>KENKO CORRECTION FLUID KE-01</v>
      </c>
      <c r="V5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" t="s">
        <v>137</v>
      </c>
      <c r="X5" t="str">
        <f ca="1">IF(KENKO[[#This Row],[N.B.nota]]="","",ADDRESS(ROW(KENKO[QB]),COLUMN(KENKO[QB]))&amp;":"&amp;ADDRESS(ROW(),COLUMN(KENKO[QB])))</f>
        <v>$D$3:$D$5</v>
      </c>
      <c r="Y5" s="14" t="str">
        <f ca="1">IF(KENKO[[#This Row],[//]]="","",HYPERLINK("[..\\DB.xlsx]DB!e"&amp;MATCH(KENKO[[#This Row],[concat]],[4]!db[NB NOTA_C],0)+1,"&gt;"))</f>
        <v>&gt;</v>
      </c>
    </row>
    <row r="6" spans="1:25" x14ac:dyDescent="0.25">
      <c r="A6" s="4"/>
      <c r="B6" s="1" t="str">
        <f>IF(KENKO[[#This Row],[N_ID]]="","",INDEX(Table1[ID],MATCH(KENKO[[#This Row],[N_ID]],Table1[N_ID],0)))</f>
        <v/>
      </c>
      <c r="C6" s="1" t="str">
        <f>IF(KENKO[[#This Row],[ID NOTA]]="","",HYPERLINK("[NOTA_.xlsx]NOTA!e"&amp;INDEX([6]!PAJAK[//],MATCH(KENKO[[#This Row],[ID NOTA]],[6]!PAJAK[ID],0)),"&gt;") )</f>
        <v/>
      </c>
      <c r="D6" s="1" t="str">
        <f>IF(KENKO[[#This Row],[ID NOTA]]="","",INDEX(Table1[QB],MATCH(KENKO[[#This Row],[ID NOTA]],Table1[ID],0)))</f>
        <v/>
      </c>
      <c r="E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85</v>
      </c>
      <c r="F6" s="1" t="str">
        <f>IF(KENKO[[#This Row],[NO. NOTA]]="","",INDEX([5]KE!$A:$A,MATCH(KENKO[[#This Row],[NO. NOTA]],[5]KE!$D:$D,0)))</f>
        <v/>
      </c>
      <c r="G6" s="3" t="str">
        <f>IF(KENKO[[#This Row],[ID NOTA]]="","",INDEX([6]!NOTA[TGL_H],MATCH(KENKO[[#This Row],[ID NOTA]],[6]!NOTA[ID],0)))</f>
        <v/>
      </c>
      <c r="H6" s="3" t="str">
        <f>IF(KENKO[[#This Row],[ID NOTA]]="","",INDEX([6]!NOTA[TGL.NOTA],MATCH(KENKO[[#This Row],[ID NOTA]],[6]!NOTA[ID],0)))</f>
        <v/>
      </c>
      <c r="I6" s="2" t="str">
        <f>IF(KENKO[[#This Row],[ID NOTA]]="","",INDEX([6]!NOTA[NO.NOTA],MATCH(KENKO[[#This Row],[ID NOTA]],[6]!NOTA[ID],0)))</f>
        <v/>
      </c>
      <c r="J6" t="s">
        <v>166</v>
      </c>
      <c r="K6" s="1" t="str">
        <f>""</f>
        <v/>
      </c>
      <c r="L6" s="1">
        <f ca="1">IF(KENKO[//]="","",IF(INDEX([6]!NOTA[QTY],KENKO[//]-2)="",INDEX([6]!NOTA[C],KENKO[//]-2),INDEX([6]!NOTA[QTY],KENKO[//]-2)))</f>
        <v>3</v>
      </c>
      <c r="M6" s="1" t="str">
        <f ca="1">IF(KENKO[//]="","",IF(INDEX([6]!NOTA[STN],KENKO[//]-2)="","CTN",INDEX([6]!NOTA[STN],KENKO[//]-2)))</f>
        <v>CTN</v>
      </c>
      <c r="N6" s="5">
        <f ca="1">IF(KENKO[[#This Row],[//]]="","",IF(INDEX([6]!NOTA[HARGA/ CTN],KENKO[[#This Row],[//]]-2)="",INDEX([6]!NOTA[HARGA SATUAN],KENKO[//]-2),INDEX([6]!NOTA[HARGA/ CTN],KENKO[[#This Row],[//]]-2)))</f>
        <v>1440000</v>
      </c>
      <c r="O6" s="8">
        <f ca="1">IF(KENKO[[#This Row],[//]]="","",INDEX([6]!NOTA[DISC 1],KENKO[[#This Row],[//]]-2))</f>
        <v>0.17</v>
      </c>
      <c r="P6" s="8">
        <f ca="1">IF(KENKO[[#This Row],[//]]="","",INDEX([6]!NOTA[DISC 2],KENKO[[#This Row],[//]]-2))</f>
        <v>0</v>
      </c>
      <c r="Q6" s="5">
        <f ca="1">IF(KENKO[[#This Row],[//]]="","",INDEX([6]!NOTA[JUMLAH],KENKO[[#This Row],[//]]-2)*(100%-IF(ISNUMBER(KENKO[[#This Row],[DISC 1 (%)]]),KENKO[[#This Row],[DISC 1 (%)]],0)))</f>
        <v>3585600</v>
      </c>
      <c r="R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t="str">
        <f ca="1">IF(KENKO[[#This Row],[//]]="","",INDEX([6]!NOTA[NAMA BARANG],KENKO[[#This Row],[//]]-2))</f>
        <v>KENKO PENCIL CASE PC-0719-PASTEL</v>
      </c>
      <c r="V6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6" t="s">
        <v>137</v>
      </c>
      <c r="X6" t="str">
        <f ca="1">IF(KENKO[[#This Row],[N.B.nota]]="","",ADDRESS(ROW(KENKO[QB]),COLUMN(KENKO[QB]))&amp;":"&amp;ADDRESS(ROW(),COLUMN(KENKO[QB])))</f>
        <v>$D$3:$D$6</v>
      </c>
      <c r="Y6" s="14" t="str">
        <f ca="1">IF(KENKO[[#This Row],[//]]="","",HYPERLINK("[..\\DB.xlsx]DB!e"&amp;MATCH(KENKO[[#This Row],[concat]],[4]!db[NB NOTA_C],0)+1,"&gt;"))</f>
        <v>&gt;</v>
      </c>
    </row>
    <row r="7" spans="1:25" x14ac:dyDescent="0.25">
      <c r="A7" s="4"/>
      <c r="B7" s="1" t="str">
        <f>IF(KENKO[[#This Row],[N_ID]]="","",INDEX(Table1[ID],MATCH(KENKO[[#This Row],[N_ID]],Table1[N_ID],0)))</f>
        <v/>
      </c>
      <c r="C7" s="1" t="str">
        <f>IF(KENKO[[#This Row],[ID NOTA]]="","",HYPERLINK("[NOTA_.xlsx]NOTA!e"&amp;INDEX([6]!PAJAK[//],MATCH(KENKO[[#This Row],[ID NOTA]],[6]!PAJAK[ID],0)),"&gt;") )</f>
        <v/>
      </c>
      <c r="D7" s="1" t="str">
        <f>IF(KENKO[[#This Row],[ID NOTA]]="","",INDEX(Table1[QB],MATCH(KENKO[[#This Row],[ID NOTA]],Table1[ID],0)))</f>
        <v/>
      </c>
      <c r="E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</v>
      </c>
      <c r="F7" s="1" t="str">
        <f>IF(KENKO[[#This Row],[NO. NOTA]]="","",INDEX([5]KE!$A:$A,MATCH(KENKO[[#This Row],[NO. NOTA]],[5]KE!$D:$D,0)))</f>
        <v/>
      </c>
      <c r="G7" s="3" t="str">
        <f>IF(KENKO[[#This Row],[ID NOTA]]="","",INDEX([6]!NOTA[TGL_H],MATCH(KENKO[[#This Row],[ID NOTA]],[6]!NOTA[ID],0)))</f>
        <v/>
      </c>
      <c r="H7" s="3" t="str">
        <f>IF(KENKO[[#This Row],[ID NOTA]]="","",INDEX([6]!NOTA[TGL.NOTA],MATCH(KENKO[[#This Row],[ID NOTA]],[6]!NOTA[ID],0)))</f>
        <v/>
      </c>
      <c r="I7" s="2" t="str">
        <f>IF(KENKO[[#This Row],[ID NOTA]]="","",INDEX([6]!NOTA[NO.NOTA],MATCH(KENKO[[#This Row],[ID NOTA]],[6]!NOTA[ID],0)))</f>
        <v/>
      </c>
      <c r="J7" t="s">
        <v>168</v>
      </c>
      <c r="K7" s="1" t="str">
        <f>""</f>
        <v/>
      </c>
      <c r="L7" s="1">
        <f ca="1">IF(KENKO[//]="","",IF(INDEX([6]!NOTA[QTY],KENKO[//]-2)="",INDEX([6]!NOTA[C],KENKO[//]-2),INDEX([6]!NOTA[QTY],KENKO[//]-2)))</f>
        <v>1</v>
      </c>
      <c r="M7" s="1" t="str">
        <f ca="1">IF(KENKO[//]="","",IF(INDEX([6]!NOTA[STN],KENKO[//]-2)="","CTN",INDEX([6]!NOTA[STN],KENKO[//]-2)))</f>
        <v>CTN</v>
      </c>
      <c r="N7" s="5">
        <f ca="1">IF(KENKO[[#This Row],[//]]="","",IF(INDEX([6]!NOTA[HARGA/ CTN],KENKO[[#This Row],[//]]-2)="",INDEX([6]!NOTA[HARGA SATUAN],KENKO[//]-2),INDEX([6]!NOTA[HARGA/ CTN],KENKO[[#This Row],[//]]-2)))</f>
        <v>5356800</v>
      </c>
      <c r="O7" s="8">
        <f ca="1">IF(KENKO[[#This Row],[//]]="","",INDEX([6]!NOTA[DISC 1],KENKO[[#This Row],[//]]-2))</f>
        <v>0.17</v>
      </c>
      <c r="P7" s="8">
        <f ca="1">IF(KENKO[[#This Row],[//]]="","",INDEX([6]!NOTA[DISC 2],KENKO[[#This Row],[//]]-2))</f>
        <v>0</v>
      </c>
      <c r="Q7" s="5">
        <f ca="1">IF(KENKO[[#This Row],[//]]="","",INDEX([6]!NOTA[JUMLAH],KENKO[[#This Row],[//]]-2)*(100%-IF(ISNUMBER(KENKO[[#This Row],[DISC 1 (%)]]),KENKO[[#This Row],[DISC 1 (%)]],0)))</f>
        <v>4446144</v>
      </c>
      <c r="R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4876416</v>
      </c>
      <c r="S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23808384</v>
      </c>
      <c r="T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t="str">
        <f ca="1">IF(KENKO[[#This Row],[//]]="","",INDEX([6]!NOTA[NAMA BARANG],KENKO[[#This Row],[//]]-2))</f>
        <v>KENKO GEL PEN HI-TECH-H 0.28MM BLACK</v>
      </c>
      <c r="V7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7" t="s">
        <v>137</v>
      </c>
      <c r="X7" t="str">
        <f ca="1">IF(KENKO[[#This Row],[N.B.nota]]="","",ADDRESS(ROW(KENKO[QB]),COLUMN(KENKO[QB]))&amp;":"&amp;ADDRESS(ROW(),COLUMN(KENKO[QB])))</f>
        <v>$D$3:$D$7</v>
      </c>
      <c r="Y7" s="14" t="str">
        <f ca="1">IF(KENKO[[#This Row],[//]]="","",HYPERLINK("[..\\DB.xlsx]DB!e"&amp;MATCH(KENKO[[#This Row],[concat]],[4]!db[NB NOTA_C],0)+1,"&gt;"))</f>
        <v>&gt;</v>
      </c>
    </row>
    <row r="8" spans="1:25" x14ac:dyDescent="0.25">
      <c r="A8" s="4"/>
      <c r="B8" s="1" t="str">
        <f>IF(KENKO[[#This Row],[N_ID]]="","",INDEX(Table1[ID],MATCH(KENKO[[#This Row],[N_ID]],Table1[N_ID],0)))</f>
        <v/>
      </c>
      <c r="C8" s="1" t="str">
        <f>IF(KENKO[[#This Row],[ID NOTA]]="","",HYPERLINK("[NOTA_.xlsx]NOTA!e"&amp;INDEX([6]!PAJAK[//],MATCH(KENKO[[#This Row],[ID NOTA]],[6]!PAJAK[ID],0)),"&gt;") )</f>
        <v/>
      </c>
      <c r="D8" s="1" t="str">
        <f>IF(KENKO[[#This Row],[ID NOTA]]="","",INDEX(Table1[QB],MATCH(KENKO[[#This Row],[ID NOTA]],Table1[ID],0)))</f>
        <v/>
      </c>
      <c r="E8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" s="1" t="str">
        <f>IF(KENKO[[#This Row],[NO. NOTA]]="","",INDEX([5]KE!$A:$A,MATCH(KENKO[[#This Row],[NO. NOTA]],[5]KE!$D:$D,0)))</f>
        <v/>
      </c>
      <c r="G8" s="3" t="str">
        <f>IF(KENKO[[#This Row],[ID NOTA]]="","",INDEX([6]!NOTA[TGL_H],MATCH(KENKO[[#This Row],[ID NOTA]],[6]!NOTA[ID],0)))</f>
        <v/>
      </c>
      <c r="H8" s="3" t="str">
        <f>IF(KENKO[[#This Row],[ID NOTA]]="","",INDEX([6]!NOTA[TGL.NOTA],MATCH(KENKO[[#This Row],[ID NOTA]],[6]!NOTA[ID],0)))</f>
        <v/>
      </c>
      <c r="I8" s="2" t="str">
        <f>IF(KENKO[[#This Row],[ID NOTA]]="","",INDEX([6]!NOTA[NO.NOTA],MATCH(KENKO[[#This Row],[ID NOTA]],[6]!NOTA[ID],0)))</f>
        <v/>
      </c>
      <c r="J8" t="s">
        <v>136</v>
      </c>
      <c r="K8" s="1" t="str">
        <f>""</f>
        <v/>
      </c>
      <c r="L8" s="1" t="str">
        <f ca="1">IF(KENKO[//]="","",IF(INDEX([6]!NOTA[QTY],KENKO[//]-2)="",INDEX([6]!NOTA[C],KENKO[//]-2),INDEX([6]!NOTA[QTY],KENKO[//]-2)))</f>
        <v/>
      </c>
      <c r="M8" s="1" t="str">
        <f ca="1">IF(KENKO[//]="","",IF(INDEX([6]!NOTA[STN],KENKO[//]-2)="","CTN",INDEX([6]!NOTA[STN],KENKO[//]-2)))</f>
        <v/>
      </c>
      <c r="N8" s="5" t="str">
        <f ca="1">IF(KENKO[[#This Row],[//]]="","",IF(INDEX([6]!NOTA[HARGA/ CTN],KENKO[[#This Row],[//]]-2)="",INDEX([6]!NOTA[HARGA SATUAN],KENKO[//]-2),INDEX([6]!NOTA[HARGA/ CTN],KENKO[[#This Row],[//]]-2)))</f>
        <v/>
      </c>
      <c r="O8" s="8" t="str">
        <f ca="1">IF(KENKO[[#This Row],[//]]="","",INDEX([6]!NOTA[DISC 1],KENKO[[#This Row],[//]]-2))</f>
        <v/>
      </c>
      <c r="P8" s="8" t="str">
        <f ca="1">IF(KENKO[[#This Row],[//]]="","",INDEX([6]!NOTA[DISC 2],KENKO[[#This Row],[//]]-2))</f>
        <v/>
      </c>
      <c r="Q8" s="5" t="str">
        <f ca="1">IF(KENKO[[#This Row],[//]]="","",INDEX([6]!NOTA[JUMLAH],KENKO[[#This Row],[//]]-2)*(100%-IF(ISNUMBER(KENKO[[#This Row],[DISC 1 (%)]]),KENKO[[#This Row],[DISC 1 (%)]],0)))</f>
        <v/>
      </c>
      <c r="R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t="str">
        <f ca="1">IF(KENKO[[#This Row],[//]]="","",INDEX([6]!NOTA[NAMA BARANG],KENKO[[#This Row],[//]]-2))</f>
        <v/>
      </c>
      <c r="V8" t="str">
        <f ca="1">LOWER(SUBSTITUTE(SUBSTITUTE(SUBSTITUTE(SUBSTITUTE(SUBSTITUTE(SUBSTITUTE(SUBSTITUTE(SUBSTITUTE(KENKO[[#This Row],[N.B.nota]]," ",""),"-",""),"(",""),")",""),".",""),",",""),"/",""),"""",""))</f>
        <v/>
      </c>
      <c r="W8" t="s">
        <v>136</v>
      </c>
      <c r="X8" t="str">
        <f ca="1">IF(KENKO[[#This Row],[N.B.nota]]="","",ADDRESS(ROW(KENKO[QB]),COLUMN(KENKO[QB]))&amp;":"&amp;ADDRESS(ROW(),COLUMN(KENKO[QB])))</f>
        <v/>
      </c>
      <c r="Y8" s="14" t="str">
        <f ca="1">IF(KENKO[[#This Row],[//]]="","",HYPERLINK("[..\\DB.xlsx]DB!e"&amp;MATCH(KENKO[[#This Row],[concat]],[4]!db[NB NOTA_C],0)+1,"&gt;"))</f>
        <v/>
      </c>
    </row>
    <row r="9" spans="1:25" x14ac:dyDescent="0.25">
      <c r="A9" s="4" t="s">
        <v>20</v>
      </c>
      <c r="B9" s="1">
        <f ca="1">IF(KENKO[[#This Row],[N_ID]]="","",INDEX(Table1[ID],MATCH(KENKO[[#This Row],[N_ID]],Table1[N_ID],0)))</f>
        <v>14</v>
      </c>
      <c r="C9" s="1" t="str">
        <f ca="1">IF(KENKO[[#This Row],[ID NOTA]]="","",HYPERLINK("[NOTA_.xlsx]NOTA!e"&amp;INDEX([6]!PAJAK[//],MATCH(KENKO[[#This Row],[ID NOTA]],[6]!PAJAK[ID],0)),"&gt;") )</f>
        <v>&gt;</v>
      </c>
      <c r="D9" s="1">
        <f ca="1">IF(KENKO[[#This Row],[ID NOTA]]="","",INDEX(Table1[QB],MATCH(KENKO[[#This Row],[ID NOTA]],Table1[ID],0)))</f>
        <v>3</v>
      </c>
      <c r="E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88</v>
      </c>
      <c r="F9" s="1" t="e">
        <f ca="1">IF(KENKO[[#This Row],[NO. NOTA]]="","",INDEX([5]KE!$A:$A,MATCH(KENKO[[#This Row],[NO. NOTA]],[5]KE!$D:$D,0)))</f>
        <v>#N/A</v>
      </c>
      <c r="G9" s="3">
        <f ca="1">IF(KENKO[[#This Row],[ID NOTA]]="","",INDEX([6]!NOTA[TGL_H],MATCH(KENKO[[#This Row],[ID NOTA]],[6]!NOTA[ID],0)))</f>
        <v>44744</v>
      </c>
      <c r="H9" s="3">
        <f ca="1">IF(KENKO[[#This Row],[ID NOTA]]="","",INDEX([6]!NOTA[TGL.NOTA],MATCH(KENKO[[#This Row],[ID NOTA]],[6]!NOTA[ID],0)))</f>
        <v>44743</v>
      </c>
      <c r="I9" s="2" t="str">
        <f ca="1">IF(KENKO[[#This Row],[ID NOTA]]="","",INDEX([6]!NOTA[NO.NOTA],MATCH(KENKO[[#This Row],[ID NOTA]],[6]!NOTA[ID],0)))</f>
        <v>22070056</v>
      </c>
      <c r="J9" t="s">
        <v>168</v>
      </c>
      <c r="K9" s="1" t="str">
        <f>""</f>
        <v/>
      </c>
      <c r="L9" s="1">
        <f ca="1">IF(KENKO[//]="","",IF(INDEX([6]!NOTA[QTY],KENKO[//]-2)="",INDEX([6]!NOTA[C],KENKO[//]-2),INDEX([6]!NOTA[QTY],KENKO[//]-2)))</f>
        <v>2</v>
      </c>
      <c r="M9" s="1" t="str">
        <f ca="1">IF(KENKO[//]="","",IF(INDEX([6]!NOTA[STN],KENKO[//]-2)="","CTN",INDEX([6]!NOTA[STN],KENKO[//]-2)))</f>
        <v>CTN</v>
      </c>
      <c r="N9" s="5">
        <f ca="1">IF(KENKO[[#This Row],[//]]="","",IF(INDEX([6]!NOTA[HARGA/ CTN],KENKO[[#This Row],[//]]-2)="",INDEX([6]!NOTA[HARGA SATUAN],KENKO[//]-2),INDEX([6]!NOTA[HARGA/ CTN],KENKO[[#This Row],[//]]-2)))</f>
        <v>5356800</v>
      </c>
      <c r="O9" s="8">
        <f ca="1">IF(KENKO[[#This Row],[//]]="","",INDEX([6]!NOTA[DISC 1],KENKO[[#This Row],[//]]-2))</f>
        <v>0.17</v>
      </c>
      <c r="P9" s="8">
        <f ca="1">IF(KENKO[[#This Row],[//]]="","",INDEX([6]!NOTA[DISC 2],KENKO[[#This Row],[//]]-2))</f>
        <v>0</v>
      </c>
      <c r="Q9" s="5">
        <f ca="1">IF(KENKO[[#This Row],[//]]="","",INDEX([6]!NOTA[JUMLAH],KENKO[[#This Row],[//]]-2)*(100%-IF(ISNUMBER(KENKO[[#This Row],[DISC 1 (%)]]),KENKO[[#This Row],[DISC 1 (%)]],0)))</f>
        <v>8892288</v>
      </c>
      <c r="R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t="str">
        <f ca="1">IF(KENKO[[#This Row],[//]]="","",INDEX([6]!NOTA[NAMA BARANG],KENKO[[#This Row],[//]]-2))</f>
        <v>KENKO GEL PEN HI-TECH-H 0.28MM BLACK</v>
      </c>
      <c r="V9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" t="s">
        <v>137</v>
      </c>
      <c r="X9" t="str">
        <f ca="1">IF(KENKO[[#This Row],[N.B.nota]]="","",ADDRESS(ROW(KENKO[QB]),COLUMN(KENKO[QB]))&amp;":"&amp;ADDRESS(ROW(),COLUMN(KENKO[QB])))</f>
        <v>$D$3:$D$9</v>
      </c>
      <c r="Y9" s="14" t="str">
        <f ca="1">IF(KENKO[[#This Row],[//]]="","",HYPERLINK("[..\\DB.xlsx]DB!e"&amp;MATCH(KENKO[[#This Row],[concat]],[4]!db[NB NOTA_C],0)+1,"&gt;"))</f>
        <v>&gt;</v>
      </c>
    </row>
    <row r="10" spans="1:25" x14ac:dyDescent="0.25">
      <c r="A10" s="4"/>
      <c r="B10" s="1" t="str">
        <f>IF(KENKO[[#This Row],[N_ID]]="","",INDEX(Table1[ID],MATCH(KENKO[[#This Row],[N_ID]],Table1[N_ID],0)))</f>
        <v/>
      </c>
      <c r="C10" s="1" t="str">
        <f>IF(KENKO[[#This Row],[ID NOTA]]="","",HYPERLINK("[NOTA_.xlsx]NOTA!e"&amp;INDEX([6]!PAJAK[//],MATCH(KENKO[[#This Row],[ID NOTA]],[6]!PAJAK[ID],0)),"&gt;") )</f>
        <v/>
      </c>
      <c r="D10" s="1" t="str">
        <f>IF(KENKO[[#This Row],[ID NOTA]]="","",INDEX(Table1[QB],MATCH(KENKO[[#This Row],[ID NOTA]],Table1[ID],0)))</f>
        <v/>
      </c>
      <c r="E10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89</v>
      </c>
      <c r="F10" s="1" t="str">
        <f>IF(KENKO[[#This Row],[NO. NOTA]]="","",INDEX([5]KE!$A:$A,MATCH(KENKO[[#This Row],[NO. NOTA]],[5]KE!$D:$D,0)))</f>
        <v/>
      </c>
      <c r="G10" s="3" t="str">
        <f>IF(KENKO[[#This Row],[ID NOTA]]="","",INDEX([6]!NOTA[TGL_H],MATCH(KENKO[[#This Row],[ID NOTA]],[6]!NOTA[ID],0)))</f>
        <v/>
      </c>
      <c r="H10" s="3" t="str">
        <f>IF(KENKO[[#This Row],[ID NOTA]]="","",INDEX([6]!NOTA[TGL.NOTA],MATCH(KENKO[[#This Row],[ID NOTA]],[6]!NOTA[ID],0)))</f>
        <v/>
      </c>
      <c r="I10" s="2" t="str">
        <f>IF(KENKO[[#This Row],[ID NOTA]]="","",INDEX([6]!NOTA[NO.NOTA],MATCH(KENKO[[#This Row],[ID NOTA]],[6]!NOTA[ID],0)))</f>
        <v/>
      </c>
      <c r="J10" t="s">
        <v>169</v>
      </c>
      <c r="K10" s="1" t="str">
        <f>""</f>
        <v/>
      </c>
      <c r="L10" s="1">
        <f ca="1">IF(KENKO[//]="","",IF(INDEX([6]!NOTA[QTY],KENKO[//]-2)="",INDEX([6]!NOTA[C],KENKO[//]-2),INDEX([6]!NOTA[QTY],KENKO[//]-2)))</f>
        <v>2</v>
      </c>
      <c r="M10" s="1" t="str">
        <f ca="1">IF(KENKO[//]="","",IF(INDEX([6]!NOTA[STN],KENKO[//]-2)="","CTN",INDEX([6]!NOTA[STN],KENKO[//]-2)))</f>
        <v>CTN</v>
      </c>
      <c r="N10" s="5">
        <f ca="1">IF(KENKO[[#This Row],[//]]="","",IF(INDEX([6]!NOTA[HARGA/ CTN],KENKO[[#This Row],[//]]-2)="",INDEX([6]!NOTA[HARGA SATUAN],KENKO[//]-2),INDEX([6]!NOTA[HARGA/ CTN],KENKO[[#This Row],[//]]-2)))</f>
        <v>3369600</v>
      </c>
      <c r="O10" s="8">
        <f ca="1">IF(KENKO[[#This Row],[//]]="","",INDEX([6]!NOTA[DISC 1],KENKO[[#This Row],[//]]-2))</f>
        <v>0.17</v>
      </c>
      <c r="P10" s="8">
        <f ca="1">IF(KENKO[[#This Row],[//]]="","",INDEX([6]!NOTA[DISC 2],KENKO[[#This Row],[//]]-2))</f>
        <v>0</v>
      </c>
      <c r="Q10" s="5">
        <f ca="1">IF(KENKO[[#This Row],[//]]="","",INDEX([6]!NOTA[JUMLAH],KENKO[[#This Row],[//]]-2)*(100%-IF(ISNUMBER(KENKO[[#This Row],[DISC 1 (%)]]),KENKO[[#This Row],[DISC 1 (%)]],0)))</f>
        <v>5593536</v>
      </c>
      <c r="R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t="str">
        <f ca="1">IF(KENKO[[#This Row],[//]]="","",INDEX([6]!NOTA[NAMA BARANG],KENKO[[#This Row],[//]]-2))</f>
        <v>KENKO GEL PEN KE-200 BLACK</v>
      </c>
      <c r="V10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0" t="s">
        <v>137</v>
      </c>
      <c r="X10" t="str">
        <f ca="1">IF(KENKO[[#This Row],[N.B.nota]]="","",ADDRESS(ROW(KENKO[QB]),COLUMN(KENKO[QB]))&amp;":"&amp;ADDRESS(ROW(),COLUMN(KENKO[QB])))</f>
        <v>$D$3:$D$10</v>
      </c>
      <c r="Y10" s="14" t="str">
        <f ca="1">IF(KENKO[[#This Row],[//]]="","",HYPERLINK("[..\\DB.xlsx]DB!e"&amp;MATCH(KENKO[[#This Row],[concat]],[4]!db[NB NOTA_C],0)+1,"&gt;"))</f>
        <v>&gt;</v>
      </c>
    </row>
    <row r="11" spans="1:25" x14ac:dyDescent="0.25">
      <c r="A11" s="4"/>
      <c r="B11" s="1" t="str">
        <f>IF(KENKO[[#This Row],[N_ID]]="","",INDEX(Table1[ID],MATCH(KENKO[[#This Row],[N_ID]],Table1[N_ID],0)))</f>
        <v/>
      </c>
      <c r="C11" s="1" t="str">
        <f>IF(KENKO[[#This Row],[ID NOTA]]="","",HYPERLINK("[NOTA_.xlsx]NOTA!e"&amp;INDEX([6]!PAJAK[//],MATCH(KENKO[[#This Row],[ID NOTA]],[6]!PAJAK[ID],0)),"&gt;") )</f>
        <v/>
      </c>
      <c r="D11" s="1" t="str">
        <f>IF(KENKO[[#This Row],[ID NOTA]]="","",INDEX(Table1[QB],MATCH(KENKO[[#This Row],[ID NOTA]],Table1[ID],0)))</f>
        <v/>
      </c>
      <c r="E1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90</v>
      </c>
      <c r="F11" s="1" t="str">
        <f>IF(KENKO[[#This Row],[NO. NOTA]]="","",INDEX([5]KE!$A:$A,MATCH(KENKO[[#This Row],[NO. NOTA]],[5]KE!$D:$D,0)))</f>
        <v/>
      </c>
      <c r="G11" s="3" t="str">
        <f>IF(KENKO[[#This Row],[ID NOTA]]="","",INDEX([6]!NOTA[TGL_H],MATCH(KENKO[[#This Row],[ID NOTA]],[6]!NOTA[ID],0)))</f>
        <v/>
      </c>
      <c r="H11" s="3" t="str">
        <f>IF(KENKO[[#This Row],[ID NOTA]]="","",INDEX([6]!NOTA[TGL.NOTA],MATCH(KENKO[[#This Row],[ID NOTA]],[6]!NOTA[ID],0)))</f>
        <v/>
      </c>
      <c r="I11" s="2" t="str">
        <f>IF(KENKO[[#This Row],[ID NOTA]]="","",INDEX([6]!NOTA[NO.NOTA],MATCH(KENKO[[#This Row],[ID NOTA]],[6]!NOTA[ID],0)))</f>
        <v/>
      </c>
      <c r="J11" t="s">
        <v>170</v>
      </c>
      <c r="K11" s="1" t="str">
        <f>""</f>
        <v/>
      </c>
      <c r="L11" s="1">
        <f ca="1">IF(KENKO[//]="","",IF(INDEX([6]!NOTA[QTY],KENKO[//]-2)="",INDEX([6]!NOTA[C],KENKO[//]-2),INDEX([6]!NOTA[QTY],KENKO[//]-2)))</f>
        <v>6</v>
      </c>
      <c r="M11" s="1" t="str">
        <f ca="1">IF(KENKO[//]="","",IF(INDEX([6]!NOTA[STN],KENKO[//]-2)="","CTN",INDEX([6]!NOTA[STN],KENKO[//]-2)))</f>
        <v>CTN</v>
      </c>
      <c r="N11" s="5">
        <f ca="1">IF(KENKO[[#This Row],[//]]="","",IF(INDEX([6]!NOTA[HARGA/ CTN],KENKO[[#This Row],[//]]-2)="",INDEX([6]!NOTA[HARGA SATUAN],KENKO[//]-2),INDEX([6]!NOTA[HARGA/ CTN],KENKO[[#This Row],[//]]-2)))</f>
        <v>3758400</v>
      </c>
      <c r="O11" s="8">
        <f ca="1">IF(KENKO[[#This Row],[//]]="","",INDEX([6]!NOTA[DISC 1],KENKO[[#This Row],[//]]-2))</f>
        <v>0.17</v>
      </c>
      <c r="P11" s="8">
        <f ca="1">IF(KENKO[[#This Row],[//]]="","",INDEX([6]!NOTA[DISC 2],KENKO[[#This Row],[//]]-2))</f>
        <v>0</v>
      </c>
      <c r="Q11" s="5">
        <f ca="1">IF(KENKO[[#This Row],[//]]="","",INDEX([6]!NOTA[JUMLAH],KENKO[[#This Row],[//]]-2)*(100%-IF(ISNUMBER(KENKO[[#This Row],[DISC 1 (%)]]),KENKO[[#This Row],[DISC 1 (%)]],0)))</f>
        <v>18716832</v>
      </c>
      <c r="R1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6800544</v>
      </c>
      <c r="S1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33202656</v>
      </c>
      <c r="T1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t="str">
        <f ca="1">IF(KENKO[[#This Row],[//]]="","",INDEX([6]!NOTA[NAMA BARANG],KENKO[[#This Row],[//]]-2))</f>
        <v>KENKO GEL PEN EASY GEL BLACK</v>
      </c>
      <c r="V11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1" t="s">
        <v>137</v>
      </c>
      <c r="X11" t="str">
        <f ca="1">IF(KENKO[[#This Row],[N.B.nota]]="","",ADDRESS(ROW(KENKO[QB]),COLUMN(KENKO[QB]))&amp;":"&amp;ADDRESS(ROW(),COLUMN(KENKO[QB])))</f>
        <v>$D$3:$D$11</v>
      </c>
      <c r="Y11" s="14" t="str">
        <f ca="1">IF(KENKO[[#This Row],[//]]="","",HYPERLINK("[..\\DB.xlsx]DB!e"&amp;MATCH(KENKO[[#This Row],[concat]],[4]!db[NB NOTA_C],0)+1,"&gt;"))</f>
        <v>&gt;</v>
      </c>
    </row>
    <row r="12" spans="1:25" x14ac:dyDescent="0.25">
      <c r="A12" s="4"/>
      <c r="B12" s="1" t="str">
        <f>IF(KENKO[[#This Row],[N_ID]]="","",INDEX(Table1[ID],MATCH(KENKO[[#This Row],[N_ID]],Table1[N_ID],0)))</f>
        <v/>
      </c>
      <c r="C12" s="1" t="str">
        <f>IF(KENKO[[#This Row],[ID NOTA]]="","",HYPERLINK("[NOTA_.xlsx]NOTA!e"&amp;INDEX([6]!PAJAK[//],MATCH(KENKO[[#This Row],[ID NOTA]],[6]!PAJAK[ID],0)),"&gt;") )</f>
        <v/>
      </c>
      <c r="D12" s="1" t="str">
        <f>IF(KENKO[[#This Row],[ID NOTA]]="","",INDEX(Table1[QB],MATCH(KENKO[[#This Row],[ID NOTA]],Table1[ID],0)))</f>
        <v/>
      </c>
      <c r="E12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" s="1" t="str">
        <f>IF(KENKO[[#This Row],[NO. NOTA]]="","",INDEX([5]KE!$A:$A,MATCH(KENKO[[#This Row],[NO. NOTA]],[5]KE!$D:$D,0)))</f>
        <v/>
      </c>
      <c r="G12" s="3" t="str">
        <f>IF(KENKO[[#This Row],[ID NOTA]]="","",INDEX([6]!NOTA[TGL_H],MATCH(KENKO[[#This Row],[ID NOTA]],[6]!NOTA[ID],0)))</f>
        <v/>
      </c>
      <c r="H12" s="3" t="str">
        <f>IF(KENKO[[#This Row],[ID NOTA]]="","",INDEX([6]!NOTA[TGL.NOTA],MATCH(KENKO[[#This Row],[ID NOTA]],[6]!NOTA[ID],0)))</f>
        <v/>
      </c>
      <c r="I12" s="2" t="str">
        <f>IF(KENKO[[#This Row],[ID NOTA]]="","",INDEX([6]!NOTA[NO.NOTA],MATCH(KENKO[[#This Row],[ID NOTA]],[6]!NOTA[ID],0)))</f>
        <v/>
      </c>
      <c r="J12" t="s">
        <v>136</v>
      </c>
      <c r="K12" s="1" t="str">
        <f>""</f>
        <v/>
      </c>
      <c r="L12" s="1" t="str">
        <f ca="1">IF(KENKO[//]="","",IF(INDEX([6]!NOTA[QTY],KENKO[//]-2)="",INDEX([6]!NOTA[C],KENKO[//]-2),INDEX([6]!NOTA[QTY],KENKO[//]-2)))</f>
        <v/>
      </c>
      <c r="M12" s="1" t="str">
        <f ca="1">IF(KENKO[//]="","",IF(INDEX([6]!NOTA[STN],KENKO[//]-2)="","CTN",INDEX([6]!NOTA[STN],KENKO[//]-2)))</f>
        <v/>
      </c>
      <c r="N12" s="5" t="str">
        <f ca="1">IF(KENKO[[#This Row],[//]]="","",IF(INDEX([6]!NOTA[HARGA/ CTN],KENKO[[#This Row],[//]]-2)="",INDEX([6]!NOTA[HARGA SATUAN],KENKO[//]-2),INDEX([6]!NOTA[HARGA/ CTN],KENKO[[#This Row],[//]]-2)))</f>
        <v/>
      </c>
      <c r="O12" s="8" t="str">
        <f ca="1">IF(KENKO[[#This Row],[//]]="","",INDEX([6]!NOTA[DISC 1],KENKO[[#This Row],[//]]-2))</f>
        <v/>
      </c>
      <c r="P12" s="8" t="str">
        <f ca="1">IF(KENKO[[#This Row],[//]]="","",INDEX([6]!NOTA[DISC 2],KENKO[[#This Row],[//]]-2))</f>
        <v/>
      </c>
      <c r="Q12" s="5" t="str">
        <f ca="1">IF(KENKO[[#This Row],[//]]="","",INDEX([6]!NOTA[JUMLAH],KENKO[[#This Row],[//]]-2)*(100%-IF(ISNUMBER(KENKO[[#This Row],[DISC 1 (%)]]),KENKO[[#This Row],[DISC 1 (%)]],0)))</f>
        <v/>
      </c>
      <c r="R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t="str">
        <f ca="1">IF(KENKO[[#This Row],[//]]="","",INDEX([6]!NOTA[NAMA BARANG],KENKO[[#This Row],[//]]-2))</f>
        <v/>
      </c>
      <c r="V12" t="str">
        <f ca="1">LOWER(SUBSTITUTE(SUBSTITUTE(SUBSTITUTE(SUBSTITUTE(SUBSTITUTE(SUBSTITUTE(SUBSTITUTE(SUBSTITUTE(KENKO[[#This Row],[N.B.nota]]," ",""),"-",""),"(",""),")",""),".",""),",",""),"/",""),"""",""))</f>
        <v/>
      </c>
      <c r="W12" t="s">
        <v>136</v>
      </c>
      <c r="X12" t="str">
        <f ca="1">IF(KENKO[[#This Row],[N.B.nota]]="","",ADDRESS(ROW(KENKO[QB]),COLUMN(KENKO[QB]))&amp;":"&amp;ADDRESS(ROW(),COLUMN(KENKO[QB])))</f>
        <v/>
      </c>
      <c r="Y12" s="14" t="str">
        <f ca="1">IF(KENKO[[#This Row],[//]]="","",HYPERLINK("[..\\DB.xlsx]DB!e"&amp;MATCH(KENKO[[#This Row],[concat]],[4]!db[NB NOTA_C],0)+1,"&gt;"))</f>
        <v/>
      </c>
    </row>
    <row r="13" spans="1:25" x14ac:dyDescent="0.25">
      <c r="A13" s="4" t="s">
        <v>21</v>
      </c>
      <c r="B13" s="1">
        <f ca="1">IF(KENKO[[#This Row],[N_ID]]="","",INDEX(Table1[ID],MATCH(KENKO[[#This Row],[N_ID]],Table1[N_ID],0)))</f>
        <v>27</v>
      </c>
      <c r="C13" s="1" t="str">
        <f ca="1">IF(KENKO[[#This Row],[ID NOTA]]="","",HYPERLINK("[NOTA_.xlsx]NOTA!e"&amp;INDEX([6]!PAJAK[//],MATCH(KENKO[[#This Row],[ID NOTA]],[6]!PAJAK[ID],0)),"&gt;") )</f>
        <v>&gt;</v>
      </c>
      <c r="D13" s="1">
        <f ca="1">IF(KENKO[[#This Row],[ID NOTA]]="","",INDEX(Table1[QB],MATCH(KENKO[[#This Row],[ID NOTA]],Table1[ID],0)))</f>
        <v>4</v>
      </c>
      <c r="E1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140</v>
      </c>
      <c r="F13" s="1" t="e">
        <f ca="1">IF(KENKO[[#This Row],[NO. NOTA]]="","",INDEX([5]KE!$A:$A,MATCH(KENKO[[#This Row],[NO. NOTA]],[5]KE!$D:$D,0)))</f>
        <v>#N/A</v>
      </c>
      <c r="G13" s="3">
        <f ca="1">IF(KENKO[[#This Row],[ID NOTA]]="","",INDEX([6]!NOTA[TGL_H],MATCH(KENKO[[#This Row],[ID NOTA]],[6]!NOTA[ID],0)))</f>
        <v>44748</v>
      </c>
      <c r="H13" s="3">
        <f ca="1">IF(KENKO[[#This Row],[ID NOTA]]="","",INDEX([6]!NOTA[TGL.NOTA],MATCH(KENKO[[#This Row],[ID NOTA]],[6]!NOTA[ID],0)))</f>
        <v>44744</v>
      </c>
      <c r="I13" s="2" t="str">
        <f ca="1">IF(KENKO[[#This Row],[ID NOTA]]="","",INDEX([6]!NOTA[NO.NOTA],MATCH(KENKO[[#This Row],[ID NOTA]],[6]!NOTA[ID],0)))</f>
        <v>22070177</v>
      </c>
      <c r="J13" t="s">
        <v>171</v>
      </c>
      <c r="K13" s="1" t="str">
        <f>""</f>
        <v/>
      </c>
      <c r="L13" s="1">
        <f ca="1">IF(KENKO[//]="","",IF(INDEX([6]!NOTA[QTY],KENKO[//]-2)="",INDEX([6]!NOTA[C],KENKO[//]-2),INDEX([6]!NOTA[QTY],KENKO[//]-2)))</f>
        <v>2</v>
      </c>
      <c r="M13" s="1" t="str">
        <f ca="1">IF(KENKO[//]="","",IF(INDEX([6]!NOTA[STN],KENKO[//]-2)="","CTN",INDEX([6]!NOTA[STN],KENKO[//]-2)))</f>
        <v>CTN</v>
      </c>
      <c r="N13" s="5">
        <f ca="1">IF(KENKO[[#This Row],[//]]="","",IF(INDEX([6]!NOTA[HARGA/ CTN],KENKO[[#This Row],[//]]-2)="",INDEX([6]!NOTA[HARGA SATUAN],KENKO[//]-2),INDEX([6]!NOTA[HARGA/ CTN],KENKO[[#This Row],[//]]-2)))</f>
        <v>2250000</v>
      </c>
      <c r="O13" s="8">
        <f ca="1">IF(KENKO[[#This Row],[//]]="","",INDEX([6]!NOTA[DISC 1],KENKO[[#This Row],[//]]-2))</f>
        <v>0.17</v>
      </c>
      <c r="P13" s="8">
        <f ca="1">IF(KENKO[[#This Row],[//]]="","",INDEX([6]!NOTA[DISC 2],KENKO[[#This Row],[//]]-2))</f>
        <v>0</v>
      </c>
      <c r="Q13" s="5">
        <f ca="1">IF(KENKO[[#This Row],[//]]="","",INDEX([6]!NOTA[JUMLAH],KENKO[[#This Row],[//]]-2)*(100%-IF(ISNUMBER(KENKO[[#This Row],[DISC 1 (%)]]),KENKO[[#This Row],[DISC 1 (%)]],0)))</f>
        <v>3735000</v>
      </c>
      <c r="R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t="str">
        <f ca="1">IF(KENKO[[#This Row],[//]]="","",INDEX([6]!NOTA[NAMA BARANG],KENKO[[#This Row],[//]]-2))</f>
        <v>KENKO PRICE LABELLER MX-5500 (8 DIGITS, 1 LINE)</v>
      </c>
      <c r="V13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13" t="s">
        <v>137</v>
      </c>
      <c r="X13" t="str">
        <f ca="1">IF(KENKO[[#This Row],[N.B.nota]]="","",ADDRESS(ROW(KENKO[QB]),COLUMN(KENKO[QB]))&amp;":"&amp;ADDRESS(ROW(),COLUMN(KENKO[QB])))</f>
        <v>$D$3:$D$13</v>
      </c>
      <c r="Y13" s="14" t="str">
        <f ca="1">IF(KENKO[[#This Row],[//]]="","",HYPERLINK("[..\\DB.xlsx]DB!e"&amp;MATCH(KENKO[[#This Row],[concat]],[4]!db[NB NOTA_C],0)+1,"&gt;"))</f>
        <v>&gt;</v>
      </c>
    </row>
    <row r="14" spans="1:25" x14ac:dyDescent="0.25">
      <c r="A14" s="4"/>
      <c r="B14" s="1" t="str">
        <f>IF(KENKO[[#This Row],[N_ID]]="","",INDEX(Table1[ID],MATCH(KENKO[[#This Row],[N_ID]],Table1[N_ID],0)))</f>
        <v/>
      </c>
      <c r="C14" s="1" t="str">
        <f>IF(KENKO[[#This Row],[ID NOTA]]="","",HYPERLINK("[NOTA_.xlsx]NOTA!e"&amp;INDEX([6]!PAJAK[//],MATCH(KENKO[[#This Row],[ID NOTA]],[6]!PAJAK[ID],0)),"&gt;") )</f>
        <v/>
      </c>
      <c r="D14" s="1" t="str">
        <f>IF(KENKO[[#This Row],[ID NOTA]]="","",INDEX(Table1[QB],MATCH(KENKO[[#This Row],[ID NOTA]],Table1[ID],0)))</f>
        <v/>
      </c>
      <c r="E1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141</v>
      </c>
      <c r="F14" s="1" t="str">
        <f>IF(KENKO[[#This Row],[NO. NOTA]]="","",INDEX([5]KE!$A:$A,MATCH(KENKO[[#This Row],[NO. NOTA]],[5]KE!$D:$D,0)))</f>
        <v/>
      </c>
      <c r="G14" s="3" t="str">
        <f>IF(KENKO[[#This Row],[ID NOTA]]="","",INDEX([6]!NOTA[TGL_H],MATCH(KENKO[[#This Row],[ID NOTA]],[6]!NOTA[ID],0)))</f>
        <v/>
      </c>
      <c r="H14" s="3" t="str">
        <f>IF(KENKO[[#This Row],[ID NOTA]]="","",INDEX([6]!NOTA[TGL.NOTA],MATCH(KENKO[[#This Row],[ID NOTA]],[6]!NOTA[ID],0)))</f>
        <v/>
      </c>
      <c r="I14" s="2" t="str">
        <f>IF(KENKO[[#This Row],[ID NOTA]]="","",INDEX([6]!NOTA[NO.NOTA],MATCH(KENKO[[#This Row],[ID NOTA]],[6]!NOTA[ID],0)))</f>
        <v/>
      </c>
      <c r="J14" t="s">
        <v>172</v>
      </c>
      <c r="K14" s="1" t="str">
        <f>""</f>
        <v/>
      </c>
      <c r="L14" s="1">
        <f ca="1">IF(KENKO[//]="","",IF(INDEX([6]!NOTA[QTY],KENKO[//]-2)="",INDEX([6]!NOTA[C],KENKO[//]-2),INDEX([6]!NOTA[QTY],KENKO[//]-2)))</f>
        <v>3</v>
      </c>
      <c r="M14" s="1" t="str">
        <f ca="1">IF(KENKO[//]="","",IF(INDEX([6]!NOTA[STN],KENKO[//]-2)="","CTN",INDEX([6]!NOTA[STN],KENKO[//]-2)))</f>
        <v>CTN</v>
      </c>
      <c r="N14" s="5">
        <f ca="1">IF(KENKO[[#This Row],[//]]="","",IF(INDEX([6]!NOTA[HARGA/ CTN],KENKO[[#This Row],[//]]-2)="",INDEX([6]!NOTA[HARGA SATUAN],KENKO[//]-2),INDEX([6]!NOTA[HARGA/ CTN],KENKO[[#This Row],[//]]-2)))</f>
        <v>2952000</v>
      </c>
      <c r="O14" s="8">
        <f ca="1">IF(KENKO[[#This Row],[//]]="","",INDEX([6]!NOTA[DISC 1],KENKO[[#This Row],[//]]-2))</f>
        <v>0.17</v>
      </c>
      <c r="P14" s="8">
        <f ca="1">IF(KENKO[[#This Row],[//]]="","",INDEX([6]!NOTA[DISC 2],KENKO[[#This Row],[//]]-2))</f>
        <v>0</v>
      </c>
      <c r="Q14" s="5">
        <f ca="1">IF(KENKO[[#This Row],[//]]="","",INDEX([6]!NOTA[JUMLAH],KENKO[[#This Row],[//]]-2)*(100%-IF(ISNUMBER(KENKO[[#This Row],[DISC 1 (%)]]),KENKO[[#This Row],[DISC 1 (%)]],0)))</f>
        <v>7350480</v>
      </c>
      <c r="R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t="str">
        <f ca="1">IF(KENKO[[#This Row],[//]]="","",INDEX([6]!NOTA[NAMA BARANG],KENKO[[#This Row],[//]]-2))</f>
        <v>KENKO CUTTER L-500 (18MM BLADE)</v>
      </c>
      <c r="V1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" t="s">
        <v>137</v>
      </c>
      <c r="X14" t="str">
        <f ca="1">IF(KENKO[[#This Row],[N.B.nota]]="","",ADDRESS(ROW(KENKO[QB]),COLUMN(KENKO[QB]))&amp;":"&amp;ADDRESS(ROW(),COLUMN(KENKO[QB])))</f>
        <v>$D$3:$D$14</v>
      </c>
      <c r="Y14" s="14" t="str">
        <f ca="1">IF(KENKO[[#This Row],[//]]="","",HYPERLINK("[..\\DB.xlsx]DB!e"&amp;MATCH(KENKO[[#This Row],[concat]],[4]!db[NB NOTA_C],0)+1,"&gt;"))</f>
        <v>&gt;</v>
      </c>
    </row>
    <row r="15" spans="1:25" x14ac:dyDescent="0.25">
      <c r="A15" s="4"/>
      <c r="B15" s="1" t="str">
        <f>IF(KENKO[[#This Row],[N_ID]]="","",INDEX(Table1[ID],MATCH(KENKO[[#This Row],[N_ID]],Table1[N_ID],0)))</f>
        <v/>
      </c>
      <c r="C15" s="1" t="str">
        <f>IF(KENKO[[#This Row],[ID NOTA]]="","",HYPERLINK("[NOTA_.xlsx]NOTA!e"&amp;INDEX([6]!PAJAK[//],MATCH(KENKO[[#This Row],[ID NOTA]],[6]!PAJAK[ID],0)),"&gt;") )</f>
        <v/>
      </c>
      <c r="D15" s="1" t="str">
        <f>IF(KENKO[[#This Row],[ID NOTA]]="","",INDEX(Table1[QB],MATCH(KENKO[[#This Row],[ID NOTA]],Table1[ID],0)))</f>
        <v/>
      </c>
      <c r="E1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142</v>
      </c>
      <c r="F15" s="1" t="str">
        <f>IF(KENKO[[#This Row],[NO. NOTA]]="","",INDEX([5]KE!$A:$A,MATCH(KENKO[[#This Row],[NO. NOTA]],[5]KE!$D:$D,0)))</f>
        <v/>
      </c>
      <c r="G15" s="3" t="str">
        <f>IF(KENKO[[#This Row],[ID NOTA]]="","",INDEX([6]!NOTA[TGL_H],MATCH(KENKO[[#This Row],[ID NOTA]],[6]!NOTA[ID],0)))</f>
        <v/>
      </c>
      <c r="H15" s="3" t="str">
        <f>IF(KENKO[[#This Row],[ID NOTA]]="","",INDEX([6]!NOTA[TGL.NOTA],MATCH(KENKO[[#This Row],[ID NOTA]],[6]!NOTA[ID],0)))</f>
        <v/>
      </c>
      <c r="I15" s="2" t="str">
        <f>IF(KENKO[[#This Row],[ID NOTA]]="","",INDEX([6]!NOTA[NO.NOTA],MATCH(KENKO[[#This Row],[ID NOTA]],[6]!NOTA[ID],0)))</f>
        <v/>
      </c>
      <c r="J15" t="s">
        <v>167</v>
      </c>
      <c r="K15" s="1" t="str">
        <f>""</f>
        <v/>
      </c>
      <c r="L15" s="1">
        <f ca="1">IF(KENKO[//]="","",IF(INDEX([6]!NOTA[QTY],KENKO[//]-2)="",INDEX([6]!NOTA[C],KENKO[//]-2),INDEX([6]!NOTA[QTY],KENKO[//]-2)))</f>
        <v>5</v>
      </c>
      <c r="M15" s="1" t="str">
        <f ca="1">IF(KENKO[//]="","",IF(INDEX([6]!NOTA[STN],KENKO[//]-2)="","CTN",INDEX([6]!NOTA[STN],KENKO[//]-2)))</f>
        <v>CTN</v>
      </c>
      <c r="N15" s="5">
        <f ca="1">IF(KENKO[[#This Row],[//]]="","",IF(INDEX([6]!NOTA[HARGA/ CTN],KENKO[[#This Row],[//]]-2)="",INDEX([6]!NOTA[HARGA SATUAN],KENKO[//]-2),INDEX([6]!NOTA[HARGA/ CTN],KENKO[[#This Row],[//]]-2)))</f>
        <v>1900800</v>
      </c>
      <c r="O15" s="8">
        <f ca="1">IF(KENKO[[#This Row],[//]]="","",INDEX([6]!NOTA[DISC 1],KENKO[[#This Row],[//]]-2))</f>
        <v>0.17</v>
      </c>
      <c r="P15" s="8">
        <f ca="1">IF(KENKO[[#This Row],[//]]="","",INDEX([6]!NOTA[DISC 2],KENKO[[#This Row],[//]]-2))</f>
        <v>0</v>
      </c>
      <c r="Q15" s="5">
        <f ca="1">IF(KENKO[[#This Row],[//]]="","",INDEX([6]!NOTA[JUMLAH],KENKO[[#This Row],[//]]-2)*(100%-IF(ISNUMBER(KENKO[[#This Row],[DISC 1 (%)]]),KENKO[[#This Row],[DISC 1 (%)]],0)))</f>
        <v>7888320</v>
      </c>
      <c r="R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t="str">
        <f ca="1">IF(KENKO[[#This Row],[//]]="","",INDEX([6]!NOTA[NAMA BARANG],KENKO[[#This Row],[//]]-2))</f>
        <v>KENKO CORRECTION FLUID KE-01</v>
      </c>
      <c r="V15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t="s">
        <v>137</v>
      </c>
      <c r="X15" t="str">
        <f ca="1">IF(KENKO[[#This Row],[N.B.nota]]="","",ADDRESS(ROW(KENKO[QB]),COLUMN(KENKO[QB]))&amp;":"&amp;ADDRESS(ROW(),COLUMN(KENKO[QB])))</f>
        <v>$D$3:$D$15</v>
      </c>
      <c r="Y15" s="14" t="str">
        <f ca="1">IF(KENKO[[#This Row],[//]]="","",HYPERLINK("[..\\DB.xlsx]DB!e"&amp;MATCH(KENKO[[#This Row],[concat]],[4]!db[NB NOTA_C],0)+1,"&gt;"))</f>
        <v>&gt;</v>
      </c>
    </row>
    <row r="16" spans="1:25" x14ac:dyDescent="0.25">
      <c r="A16" s="4"/>
      <c r="B16" s="1" t="str">
        <f>IF(KENKO[[#This Row],[N_ID]]="","",INDEX(Table1[ID],MATCH(KENKO[[#This Row],[N_ID]],Table1[N_ID],0)))</f>
        <v/>
      </c>
      <c r="C16" s="1" t="str">
        <f>IF(KENKO[[#This Row],[ID NOTA]]="","",HYPERLINK("[NOTA_.xlsx]NOTA!e"&amp;INDEX([6]!PAJAK[//],MATCH(KENKO[[#This Row],[ID NOTA]],[6]!PAJAK[ID],0)),"&gt;") )</f>
        <v/>
      </c>
      <c r="D16" s="1" t="str">
        <f>IF(KENKO[[#This Row],[ID NOTA]]="","",INDEX(Table1[QB],MATCH(KENKO[[#This Row],[ID NOTA]],Table1[ID],0)))</f>
        <v/>
      </c>
      <c r="E1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143</v>
      </c>
      <c r="F16" s="1" t="str">
        <f>IF(KENKO[[#This Row],[NO. NOTA]]="","",INDEX([5]KE!$A:$A,MATCH(KENKO[[#This Row],[NO. NOTA]],[5]KE!$D:$D,0)))</f>
        <v/>
      </c>
      <c r="G16" s="3" t="str">
        <f>IF(KENKO[[#This Row],[ID NOTA]]="","",INDEX([6]!NOTA[TGL_H],MATCH(KENKO[[#This Row],[ID NOTA]],[6]!NOTA[ID],0)))</f>
        <v/>
      </c>
      <c r="H16" s="3" t="str">
        <f>IF(KENKO[[#This Row],[ID NOTA]]="","",INDEX([6]!NOTA[TGL.NOTA],MATCH(KENKO[[#This Row],[ID NOTA]],[6]!NOTA[ID],0)))</f>
        <v/>
      </c>
      <c r="I16" s="2" t="str">
        <f>IF(KENKO[[#This Row],[ID NOTA]]="","",INDEX([6]!NOTA[NO.NOTA],MATCH(KENKO[[#This Row],[ID NOTA]],[6]!NOTA[ID],0)))</f>
        <v/>
      </c>
      <c r="J16" t="s">
        <v>173</v>
      </c>
      <c r="K16" s="1" t="str">
        <f>""</f>
        <v/>
      </c>
      <c r="L16" s="1">
        <f ca="1">IF(KENKO[//]="","",IF(INDEX([6]!NOTA[QTY],KENKO[//]-2)="",INDEX([6]!NOTA[C],KENKO[//]-2),INDEX([6]!NOTA[QTY],KENKO[//]-2)))</f>
        <v>1</v>
      </c>
      <c r="M16" s="1" t="str">
        <f ca="1">IF(KENKO[//]="","",IF(INDEX([6]!NOTA[STN],KENKO[//]-2)="","CTN",INDEX([6]!NOTA[STN],KENKO[//]-2)))</f>
        <v>CTN</v>
      </c>
      <c r="N16" s="5">
        <f ca="1">IF(KENKO[[#This Row],[//]]="","",IF(INDEX([6]!NOTA[HARGA/ CTN],KENKO[[#This Row],[//]]-2)="",INDEX([6]!NOTA[HARGA SATUAN],KENKO[//]-2),INDEX([6]!NOTA[HARGA/ CTN],KENKO[[#This Row],[//]]-2)))</f>
        <v>1740000</v>
      </c>
      <c r="O16" s="8">
        <f ca="1">IF(KENKO[[#This Row],[//]]="","",INDEX([6]!NOTA[DISC 1],KENKO[[#This Row],[//]]-2))</f>
        <v>0.17</v>
      </c>
      <c r="P16" s="8">
        <f ca="1">IF(KENKO[[#This Row],[//]]="","",INDEX([6]!NOTA[DISC 2],KENKO[[#This Row],[//]]-2))</f>
        <v>0</v>
      </c>
      <c r="Q16" s="5">
        <f ca="1">IF(KENKO[[#This Row],[//]]="","",INDEX([6]!NOTA[JUMLAH],KENKO[[#This Row],[//]]-2)*(100%-IF(ISNUMBER(KENKO[[#This Row],[DISC 1 (%)]]),KENKO[[#This Row],[DISC 1 (%)]],0)))</f>
        <v>1444200</v>
      </c>
      <c r="R1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4182000</v>
      </c>
      <c r="S1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20418000</v>
      </c>
      <c r="T1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t="str">
        <f ca="1">IF(KENKO[[#This Row],[//]]="","",INDEX([6]!NOTA[NAMA BARANG],KENKO[[#This Row],[//]]-2))</f>
        <v>KENKO STAPLER HD-10S (MINI)</v>
      </c>
      <c r="V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16" t="s">
        <v>137</v>
      </c>
      <c r="X16" t="str">
        <f ca="1">IF(KENKO[[#This Row],[N.B.nota]]="","",ADDRESS(ROW(KENKO[QB]),COLUMN(KENKO[QB]))&amp;":"&amp;ADDRESS(ROW(),COLUMN(KENKO[QB])))</f>
        <v>$D$3:$D$16</v>
      </c>
      <c r="Y16" s="14" t="str">
        <f ca="1">IF(KENKO[[#This Row],[//]]="","",HYPERLINK("[..\\DB.xlsx]DB!e"&amp;MATCH(KENKO[[#This Row],[concat]],[4]!db[NB NOTA_C],0)+1,"&gt;"))</f>
        <v>&gt;</v>
      </c>
    </row>
    <row r="17" spans="1:25" x14ac:dyDescent="0.25">
      <c r="A17" s="4"/>
      <c r="B17" s="1" t="str">
        <f>IF(KENKO[[#This Row],[N_ID]]="","",INDEX(Table1[ID],MATCH(KENKO[[#This Row],[N_ID]],Table1[N_ID],0)))</f>
        <v/>
      </c>
      <c r="C17" s="1" t="str">
        <f>IF(KENKO[[#This Row],[ID NOTA]]="","",HYPERLINK("[NOTA_.xlsx]NOTA!e"&amp;INDEX([6]!PAJAK[//],MATCH(KENKO[[#This Row],[ID NOTA]],[6]!PAJAK[ID],0)),"&gt;") )</f>
        <v/>
      </c>
      <c r="D17" s="1" t="str">
        <f>IF(KENKO[[#This Row],[ID NOTA]]="","",INDEX(Table1[QB],MATCH(KENKO[[#This Row],[ID NOTA]],Table1[ID],0)))</f>
        <v/>
      </c>
      <c r="E17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" s="1" t="str">
        <f>IF(KENKO[[#This Row],[NO. NOTA]]="","",INDEX([5]KE!$A:$A,MATCH(KENKO[[#This Row],[NO. NOTA]],[5]KE!$D:$D,0)))</f>
        <v/>
      </c>
      <c r="G17" s="3" t="str">
        <f>IF(KENKO[[#This Row],[ID NOTA]]="","",INDEX([6]!NOTA[TGL_H],MATCH(KENKO[[#This Row],[ID NOTA]],[6]!NOTA[ID],0)))</f>
        <v/>
      </c>
      <c r="H17" s="3" t="str">
        <f>IF(KENKO[[#This Row],[ID NOTA]]="","",INDEX([6]!NOTA[TGL.NOTA],MATCH(KENKO[[#This Row],[ID NOTA]],[6]!NOTA[ID],0)))</f>
        <v/>
      </c>
      <c r="I17" s="2" t="str">
        <f>IF(KENKO[[#This Row],[ID NOTA]]="","",INDEX([6]!NOTA[NO.NOTA],MATCH(KENKO[[#This Row],[ID NOTA]],[6]!NOTA[ID],0)))</f>
        <v/>
      </c>
      <c r="J17" t="s">
        <v>136</v>
      </c>
      <c r="K17" s="1" t="str">
        <f>""</f>
        <v/>
      </c>
      <c r="L17" s="1" t="str">
        <f ca="1">IF(KENKO[//]="","",IF(INDEX([6]!NOTA[QTY],KENKO[//]-2)="",INDEX([6]!NOTA[C],KENKO[//]-2),INDEX([6]!NOTA[QTY],KENKO[//]-2)))</f>
        <v/>
      </c>
      <c r="M17" s="1" t="str">
        <f ca="1">IF(KENKO[//]="","",IF(INDEX([6]!NOTA[STN],KENKO[//]-2)="","CTN",INDEX([6]!NOTA[STN],KENKO[//]-2)))</f>
        <v/>
      </c>
      <c r="N17" s="5" t="str">
        <f ca="1">IF(KENKO[[#This Row],[//]]="","",IF(INDEX([6]!NOTA[HARGA/ CTN],KENKO[[#This Row],[//]]-2)="",INDEX([6]!NOTA[HARGA SATUAN],KENKO[//]-2),INDEX([6]!NOTA[HARGA/ CTN],KENKO[[#This Row],[//]]-2)))</f>
        <v/>
      </c>
      <c r="O17" s="8" t="str">
        <f ca="1">IF(KENKO[[#This Row],[//]]="","",INDEX([6]!NOTA[DISC 1],KENKO[[#This Row],[//]]-2))</f>
        <v/>
      </c>
      <c r="P17" s="8" t="str">
        <f ca="1">IF(KENKO[[#This Row],[//]]="","",INDEX([6]!NOTA[DISC 2],KENKO[[#This Row],[//]]-2))</f>
        <v/>
      </c>
      <c r="Q17" s="5" t="str">
        <f ca="1">IF(KENKO[[#This Row],[//]]="","",INDEX([6]!NOTA[JUMLAH],KENKO[[#This Row],[//]]-2)*(100%-IF(ISNUMBER(KENKO[[#This Row],[DISC 1 (%)]]),KENKO[[#This Row],[DISC 1 (%)]],0)))</f>
        <v/>
      </c>
      <c r="R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t="str">
        <f ca="1">IF(KENKO[[#This Row],[//]]="","",INDEX([6]!NOTA[NAMA BARANG],KENKO[[#This Row],[//]]-2))</f>
        <v/>
      </c>
      <c r="V17" t="str">
        <f ca="1">LOWER(SUBSTITUTE(SUBSTITUTE(SUBSTITUTE(SUBSTITUTE(SUBSTITUTE(SUBSTITUTE(SUBSTITUTE(SUBSTITUTE(KENKO[[#This Row],[N.B.nota]]," ",""),"-",""),"(",""),")",""),".",""),",",""),"/",""),"""",""))</f>
        <v/>
      </c>
      <c r="W17" t="s">
        <v>136</v>
      </c>
      <c r="X17" t="str">
        <f ca="1">IF(KENKO[[#This Row],[N.B.nota]]="","",ADDRESS(ROW(KENKO[QB]),COLUMN(KENKO[QB]))&amp;":"&amp;ADDRESS(ROW(),COLUMN(KENKO[QB])))</f>
        <v/>
      </c>
      <c r="Y17" s="14" t="str">
        <f ca="1">IF(KENKO[[#This Row],[//]]="","",HYPERLINK("[..\\DB.xlsx]DB!e"&amp;MATCH(KENKO[[#This Row],[concat]],[4]!db[NB NOTA_C],0)+1,"&gt;"))</f>
        <v/>
      </c>
    </row>
    <row r="18" spans="1:25" x14ac:dyDescent="0.25">
      <c r="A18" s="4" t="s">
        <v>22</v>
      </c>
      <c r="B18" s="1">
        <f ca="1">IF(KENKO[[#This Row],[N_ID]]="","",INDEX(Table1[ID],MATCH(KENKO[[#This Row],[N_ID]],Table1[N_ID],0)))</f>
        <v>40</v>
      </c>
      <c r="C18" s="1" t="str">
        <f ca="1">IF(KENKO[[#This Row],[ID NOTA]]="","",HYPERLINK("[NOTA_.xlsx]NOTA!e"&amp;INDEX([6]!PAJAK[//],MATCH(KENKO[[#This Row],[ID NOTA]],[6]!PAJAK[ID],0)),"&gt;") )</f>
        <v>&gt;</v>
      </c>
      <c r="D18" s="1">
        <f ca="1">IF(KENKO[[#This Row],[ID NOTA]]="","",INDEX(Table1[QB],MATCH(KENKO[[#This Row],[ID NOTA]],Table1[ID],0)))</f>
        <v>4</v>
      </c>
      <c r="E1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195</v>
      </c>
      <c r="F18" s="1" t="e">
        <f ca="1">IF(KENKO[[#This Row],[NO. NOTA]]="","",INDEX([5]KE!$A:$A,MATCH(KENKO[[#This Row],[NO. NOTA]],[5]KE!$D:$D,0)))</f>
        <v>#N/A</v>
      </c>
      <c r="G18" s="3">
        <f ca="1">IF(KENKO[[#This Row],[ID NOTA]]="","",INDEX([6]!NOTA[TGL_H],MATCH(KENKO[[#This Row],[ID NOTA]],[6]!NOTA[ID],0)))</f>
        <v>44749</v>
      </c>
      <c r="H18" s="3">
        <f ca="1">IF(KENKO[[#This Row],[ID NOTA]]="","",INDEX([6]!NOTA[TGL.NOTA],MATCH(KENKO[[#This Row],[ID NOTA]],[6]!NOTA[ID],0)))</f>
        <v>44746</v>
      </c>
      <c r="I18" s="2">
        <f ca="1">IF(KENKO[[#This Row],[ID NOTA]]="","",INDEX([6]!NOTA[NO.NOTA],MATCH(KENKO[[#This Row],[ID NOTA]],[6]!NOTA[ID],0)))</f>
        <v>22070238</v>
      </c>
      <c r="J18" t="s">
        <v>167</v>
      </c>
      <c r="K18" s="1" t="str">
        <f>""</f>
        <v/>
      </c>
      <c r="L18" s="1">
        <f ca="1">IF(KENKO[//]="","",IF(INDEX([6]!NOTA[QTY],KENKO[//]-2)="",INDEX([6]!NOTA[C],KENKO[//]-2),INDEX([6]!NOTA[QTY],KENKO[//]-2)))</f>
        <v>4</v>
      </c>
      <c r="M18" s="1" t="str">
        <f ca="1">IF(KENKO[//]="","",IF(INDEX([6]!NOTA[STN],KENKO[//]-2)="","CTN",INDEX([6]!NOTA[STN],KENKO[//]-2)))</f>
        <v>CTN</v>
      </c>
      <c r="N18" s="5">
        <f ca="1">IF(KENKO[[#This Row],[//]]="","",IF(INDEX([6]!NOTA[HARGA/ CTN],KENKO[[#This Row],[//]]-2)="",INDEX([6]!NOTA[HARGA SATUAN],KENKO[//]-2),INDEX([6]!NOTA[HARGA/ CTN],KENKO[[#This Row],[//]]-2)))</f>
        <v>1900800</v>
      </c>
      <c r="O18" s="8">
        <f ca="1">IF(KENKO[[#This Row],[//]]="","",INDEX([6]!NOTA[DISC 1],KENKO[[#This Row],[//]]-2))</f>
        <v>0.17</v>
      </c>
      <c r="P18" s="8">
        <f ca="1">IF(KENKO[[#This Row],[//]]="","",INDEX([6]!NOTA[DISC 2],KENKO[[#This Row],[//]]-2))</f>
        <v>0</v>
      </c>
      <c r="Q18" s="5">
        <f ca="1">IF(KENKO[[#This Row],[//]]="","",INDEX([6]!NOTA[JUMLAH],KENKO[[#This Row],[//]]-2)*(100%-IF(ISNUMBER(KENKO[[#This Row],[DISC 1 (%)]]),KENKO[[#This Row],[DISC 1 (%)]],0)))</f>
        <v>6310656</v>
      </c>
      <c r="R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t="str">
        <f ca="1">IF(KENKO[[#This Row],[//]]="","",INDEX([6]!NOTA[NAMA BARANG],KENKO[[#This Row],[//]]-2))</f>
        <v>KENKO CORRECTION FLUID KE-01</v>
      </c>
      <c r="V1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t="s">
        <v>137</v>
      </c>
      <c r="X18" t="str">
        <f ca="1">IF(KENKO[[#This Row],[N.B.nota]]="","",ADDRESS(ROW(KENKO[QB]),COLUMN(KENKO[QB]))&amp;":"&amp;ADDRESS(ROW(),COLUMN(KENKO[QB])))</f>
        <v>$D$3:$D$18</v>
      </c>
      <c r="Y18" s="14" t="str">
        <f ca="1">IF(KENKO[[#This Row],[//]]="","",HYPERLINK("[..\\DB.xlsx]DB!e"&amp;MATCH(KENKO[[#This Row],[concat]],[4]!db[NB NOTA_C],0)+1,"&gt;"))</f>
        <v>&gt;</v>
      </c>
    </row>
    <row r="19" spans="1:25" x14ac:dyDescent="0.25">
      <c r="A19" s="4"/>
      <c r="B19" s="1" t="str">
        <f>IF(KENKO[[#This Row],[N_ID]]="","",INDEX(Table1[ID],MATCH(KENKO[[#This Row],[N_ID]],Table1[N_ID],0)))</f>
        <v/>
      </c>
      <c r="C19" s="1" t="str">
        <f>IF(KENKO[[#This Row],[ID NOTA]]="","",HYPERLINK("[NOTA_.xlsx]NOTA!e"&amp;INDEX([6]!PAJAK[//],MATCH(KENKO[[#This Row],[ID NOTA]],[6]!PAJAK[ID],0)),"&gt;") )</f>
        <v/>
      </c>
      <c r="D19" s="1" t="str">
        <f>IF(KENKO[[#This Row],[ID NOTA]]="","",INDEX(Table1[QB],MATCH(KENKO[[#This Row],[ID NOTA]],Table1[ID],0)))</f>
        <v/>
      </c>
      <c r="E1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196</v>
      </c>
      <c r="F19" s="1" t="str">
        <f>IF(KENKO[[#This Row],[NO. NOTA]]="","",INDEX([5]KE!$A:$A,MATCH(KENKO[[#This Row],[NO. NOTA]],[5]KE!$D:$D,0)))</f>
        <v/>
      </c>
      <c r="G19" s="3" t="str">
        <f>IF(KENKO[[#This Row],[ID NOTA]]="","",INDEX([6]!NOTA[TGL_H],MATCH(KENKO[[#This Row],[ID NOTA]],[6]!NOTA[ID],0)))</f>
        <v/>
      </c>
      <c r="H19" s="3" t="str">
        <f>IF(KENKO[[#This Row],[ID NOTA]]="","",INDEX([6]!NOTA[TGL.NOTA],MATCH(KENKO[[#This Row],[ID NOTA]],[6]!NOTA[ID],0)))</f>
        <v/>
      </c>
      <c r="I19" s="2" t="str">
        <f>IF(KENKO[[#This Row],[ID NOTA]]="","",INDEX([6]!NOTA[NO.NOTA],MATCH(KENKO[[#This Row],[ID NOTA]],[6]!NOTA[ID],0)))</f>
        <v/>
      </c>
      <c r="J19" t="s">
        <v>170</v>
      </c>
      <c r="K19" s="1" t="str">
        <f>""</f>
        <v/>
      </c>
      <c r="L19" s="1">
        <f ca="1">IF(KENKO[//]="","",IF(INDEX([6]!NOTA[QTY],KENKO[//]-2)="",INDEX([6]!NOTA[C],KENKO[//]-2),INDEX([6]!NOTA[QTY],KENKO[//]-2)))</f>
        <v>4</v>
      </c>
      <c r="M19" s="1" t="str">
        <f ca="1">IF(KENKO[//]="","",IF(INDEX([6]!NOTA[STN],KENKO[//]-2)="","CTN",INDEX([6]!NOTA[STN],KENKO[//]-2)))</f>
        <v>CTN</v>
      </c>
      <c r="N19" s="5">
        <f ca="1">IF(KENKO[[#This Row],[//]]="","",IF(INDEX([6]!NOTA[HARGA/ CTN],KENKO[[#This Row],[//]]-2)="",INDEX([6]!NOTA[HARGA SATUAN],KENKO[//]-2),INDEX([6]!NOTA[HARGA/ CTN],KENKO[[#This Row],[//]]-2)))</f>
        <v>3758400</v>
      </c>
      <c r="O19" s="8">
        <f ca="1">IF(KENKO[[#This Row],[//]]="","",INDEX([6]!NOTA[DISC 1],KENKO[[#This Row],[//]]-2))</f>
        <v>0.17</v>
      </c>
      <c r="P19" s="8">
        <f ca="1">IF(KENKO[[#This Row],[//]]="","",INDEX([6]!NOTA[DISC 2],KENKO[[#This Row],[//]]-2))</f>
        <v>0</v>
      </c>
      <c r="Q19" s="5">
        <f ca="1">IF(KENKO[[#This Row],[//]]="","",INDEX([6]!NOTA[JUMLAH],KENKO[[#This Row],[//]]-2)*(100%-IF(ISNUMBER(KENKO[[#This Row],[DISC 1 (%)]]),KENKO[[#This Row],[DISC 1 (%)]],0)))</f>
        <v>12477888</v>
      </c>
      <c r="R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t="str">
        <f ca="1">IF(KENKO[[#This Row],[//]]="","",INDEX([6]!NOTA[NAMA BARANG],KENKO[[#This Row],[//]]-2))</f>
        <v>KENKO GEL PEN EASY GEL BLACK</v>
      </c>
      <c r="V19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9" t="s">
        <v>137</v>
      </c>
      <c r="X19" t="str">
        <f ca="1">IF(KENKO[[#This Row],[N.B.nota]]="","",ADDRESS(ROW(KENKO[QB]),COLUMN(KENKO[QB]))&amp;":"&amp;ADDRESS(ROW(),COLUMN(KENKO[QB])))</f>
        <v>$D$3:$D$19</v>
      </c>
      <c r="Y19" s="14" t="str">
        <f ca="1">IF(KENKO[[#This Row],[//]]="","",HYPERLINK("[..\\DB.xlsx]DB!e"&amp;MATCH(KENKO[[#This Row],[concat]],[4]!db[NB NOTA_C],0)+1,"&gt;"))</f>
        <v>&gt;</v>
      </c>
    </row>
    <row r="20" spans="1:25" x14ac:dyDescent="0.25">
      <c r="A20" s="4"/>
      <c r="B20" s="1" t="str">
        <f>IF(KENKO[[#This Row],[N_ID]]="","",INDEX(Table1[ID],MATCH(KENKO[[#This Row],[N_ID]],Table1[N_ID],0)))</f>
        <v/>
      </c>
      <c r="C20" s="1" t="str">
        <f>IF(KENKO[[#This Row],[ID NOTA]]="","",HYPERLINK("[NOTA_.xlsx]NOTA!e"&amp;INDEX([6]!PAJAK[//],MATCH(KENKO[[#This Row],[ID NOTA]],[6]!PAJAK[ID],0)),"&gt;") )</f>
        <v/>
      </c>
      <c r="D20" s="1" t="str">
        <f>IF(KENKO[[#This Row],[ID NOTA]]="","",INDEX(Table1[QB],MATCH(KENKO[[#This Row],[ID NOTA]],Table1[ID],0)))</f>
        <v/>
      </c>
      <c r="E20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197</v>
      </c>
      <c r="F20" s="1" t="str">
        <f>IF(KENKO[[#This Row],[NO. NOTA]]="","",INDEX([5]KE!$A:$A,MATCH(KENKO[[#This Row],[NO. NOTA]],[5]KE!$D:$D,0)))</f>
        <v/>
      </c>
      <c r="G20" s="3" t="str">
        <f>IF(KENKO[[#This Row],[ID NOTA]]="","",INDEX([6]!NOTA[TGL_H],MATCH(KENKO[[#This Row],[ID NOTA]],[6]!NOTA[ID],0)))</f>
        <v/>
      </c>
      <c r="H20" s="3" t="str">
        <f>IF(KENKO[[#This Row],[ID NOTA]]="","",INDEX([6]!NOTA[TGL.NOTA],MATCH(KENKO[[#This Row],[ID NOTA]],[6]!NOTA[ID],0)))</f>
        <v/>
      </c>
      <c r="I20" s="2" t="str">
        <f>IF(KENKO[[#This Row],[ID NOTA]]="","",INDEX([6]!NOTA[NO.NOTA],MATCH(KENKO[[#This Row],[ID NOTA]],[6]!NOTA[ID],0)))</f>
        <v/>
      </c>
      <c r="J20" t="s">
        <v>169</v>
      </c>
      <c r="K20" s="1" t="str">
        <f>""</f>
        <v/>
      </c>
      <c r="L20" s="1">
        <f ca="1">IF(KENKO[//]="","",IF(INDEX([6]!NOTA[QTY],KENKO[//]-2)="",INDEX([6]!NOTA[C],KENKO[//]-2),INDEX([6]!NOTA[QTY],KENKO[//]-2)))</f>
        <v>3</v>
      </c>
      <c r="M20" s="1" t="str">
        <f ca="1">IF(KENKO[//]="","",IF(INDEX([6]!NOTA[STN],KENKO[//]-2)="","CTN",INDEX([6]!NOTA[STN],KENKO[//]-2)))</f>
        <v>CTN</v>
      </c>
      <c r="N20" s="5">
        <f ca="1">IF(KENKO[[#This Row],[//]]="","",IF(INDEX([6]!NOTA[HARGA/ CTN],KENKO[[#This Row],[//]]-2)="",INDEX([6]!NOTA[HARGA SATUAN],KENKO[//]-2),INDEX([6]!NOTA[HARGA/ CTN],KENKO[[#This Row],[//]]-2)))</f>
        <v>3369600</v>
      </c>
      <c r="O20" s="8">
        <f ca="1">IF(KENKO[[#This Row],[//]]="","",INDEX([6]!NOTA[DISC 1],KENKO[[#This Row],[//]]-2))</f>
        <v>0.17</v>
      </c>
      <c r="P20" s="8">
        <f ca="1">IF(KENKO[[#This Row],[//]]="","",INDEX([6]!NOTA[DISC 2],KENKO[[#This Row],[//]]-2))</f>
        <v>0</v>
      </c>
      <c r="Q20" s="5">
        <f ca="1">IF(KENKO[[#This Row],[//]]="","",INDEX([6]!NOTA[JUMLAH],KENKO[[#This Row],[//]]-2)*(100%-IF(ISNUMBER(KENKO[[#This Row],[DISC 1 (%)]]),KENKO[[#This Row],[DISC 1 (%)]],0)))</f>
        <v>8390304</v>
      </c>
      <c r="R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t="str">
        <f ca="1">IF(KENKO[[#This Row],[//]]="","",INDEX([6]!NOTA[NAMA BARANG],KENKO[[#This Row],[//]]-2))</f>
        <v>KENKO GEL PEN KE-200 BLACK</v>
      </c>
      <c r="V20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20" t="s">
        <v>137</v>
      </c>
      <c r="X20" t="str">
        <f ca="1">IF(KENKO[[#This Row],[N.B.nota]]="","",ADDRESS(ROW(KENKO[QB]),COLUMN(KENKO[QB]))&amp;":"&amp;ADDRESS(ROW(),COLUMN(KENKO[QB])))</f>
        <v>$D$3:$D$20</v>
      </c>
      <c r="Y20" s="14" t="str">
        <f ca="1">IF(KENKO[[#This Row],[//]]="","",HYPERLINK("[..\\DB.xlsx]DB!e"&amp;MATCH(KENKO[[#This Row],[concat]],[4]!db[NB NOTA_C],0)+1,"&gt;"))</f>
        <v>&gt;</v>
      </c>
    </row>
    <row r="21" spans="1:25" x14ac:dyDescent="0.25">
      <c r="A21" s="4"/>
      <c r="B21" s="1" t="str">
        <f>IF(KENKO[[#This Row],[N_ID]]="","",INDEX(Table1[ID],MATCH(KENKO[[#This Row],[N_ID]],Table1[N_ID],0)))</f>
        <v/>
      </c>
      <c r="C21" s="1" t="str">
        <f>IF(KENKO[[#This Row],[ID NOTA]]="","",HYPERLINK("[NOTA_.xlsx]NOTA!e"&amp;INDEX([6]!PAJAK[//],MATCH(KENKO[[#This Row],[ID NOTA]],[6]!PAJAK[ID],0)),"&gt;") )</f>
        <v/>
      </c>
      <c r="D21" s="1" t="str">
        <f>IF(KENKO[[#This Row],[ID NOTA]]="","",INDEX(Table1[QB],MATCH(KENKO[[#This Row],[ID NOTA]],Table1[ID],0)))</f>
        <v/>
      </c>
      <c r="E2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198</v>
      </c>
      <c r="F21" s="1" t="str">
        <f>IF(KENKO[[#This Row],[NO. NOTA]]="","",INDEX([5]KE!$A:$A,MATCH(KENKO[[#This Row],[NO. NOTA]],[5]KE!$D:$D,0)))</f>
        <v/>
      </c>
      <c r="G21" s="3" t="str">
        <f>IF(KENKO[[#This Row],[ID NOTA]]="","",INDEX([6]!NOTA[TGL_H],MATCH(KENKO[[#This Row],[ID NOTA]],[6]!NOTA[ID],0)))</f>
        <v/>
      </c>
      <c r="H21" s="3" t="str">
        <f>IF(KENKO[[#This Row],[ID NOTA]]="","",INDEX([6]!NOTA[TGL.NOTA],MATCH(KENKO[[#This Row],[ID NOTA]],[6]!NOTA[ID],0)))</f>
        <v/>
      </c>
      <c r="I21" s="2" t="str">
        <f>IF(KENKO[[#This Row],[ID NOTA]]="","",INDEX([6]!NOTA[NO.NOTA],MATCH(KENKO[[#This Row],[ID NOTA]],[6]!NOTA[ID],0)))</f>
        <v/>
      </c>
      <c r="J21" t="s">
        <v>174</v>
      </c>
      <c r="K21" s="1" t="str">
        <f>""</f>
        <v/>
      </c>
      <c r="L21" s="1">
        <f ca="1">IF(KENKO[//]="","",IF(INDEX([6]!NOTA[QTY],KENKO[//]-2)="",INDEX([6]!NOTA[C],KENKO[//]-2),INDEX([6]!NOTA[QTY],KENKO[//]-2)))</f>
        <v>2</v>
      </c>
      <c r="M21" s="1" t="str">
        <f ca="1">IF(KENKO[//]="","",IF(INDEX([6]!NOTA[STN],KENKO[//]-2)="","CTN",INDEX([6]!NOTA[STN],KENKO[//]-2)))</f>
        <v>CTN</v>
      </c>
      <c r="N21" s="5">
        <f ca="1">IF(KENKO[[#This Row],[//]]="","",IF(INDEX([6]!NOTA[HARGA/ CTN],KENKO[[#This Row],[//]]-2)="",INDEX([6]!NOTA[HARGA SATUAN],KENKO[//]-2),INDEX([6]!NOTA[HARGA/ CTN],KENKO[[#This Row],[//]]-2)))</f>
        <v>3758400</v>
      </c>
      <c r="O21" s="8">
        <f ca="1">IF(KENKO[[#This Row],[//]]="","",INDEX([6]!NOTA[DISC 1],KENKO[[#This Row],[//]]-2))</f>
        <v>0.17</v>
      </c>
      <c r="P21" s="8">
        <f ca="1">IF(KENKO[[#This Row],[//]]="","",INDEX([6]!NOTA[DISC 2],KENKO[[#This Row],[//]]-2))</f>
        <v>0</v>
      </c>
      <c r="Q21" s="5">
        <f ca="1">IF(KENKO[[#This Row],[//]]="","",INDEX([6]!NOTA[JUMLAH],KENKO[[#This Row],[//]]-2)*(100%-IF(ISNUMBER(KENKO[[#This Row],[DISC 1 (%)]]),KENKO[[#This Row],[DISC 1 (%)]],0)))</f>
        <v>6238944</v>
      </c>
      <c r="R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6844608</v>
      </c>
      <c r="S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33417792</v>
      </c>
      <c r="T2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t="str">
        <f ca="1">IF(KENKO[[#This Row],[//]]="","",INDEX([6]!NOTA[NAMA BARANG],KENKO[[#This Row],[//]]-2))</f>
        <v>KENKO GEL PEN WINJELLER KE-600 BLACK</v>
      </c>
      <c r="V21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21" t="s">
        <v>137</v>
      </c>
      <c r="X21" t="str">
        <f ca="1">IF(KENKO[[#This Row],[N.B.nota]]="","",ADDRESS(ROW(KENKO[QB]),COLUMN(KENKO[QB]))&amp;":"&amp;ADDRESS(ROW(),COLUMN(KENKO[QB])))</f>
        <v>$D$3:$D$21</v>
      </c>
      <c r="Y21" s="14" t="str">
        <f ca="1">IF(KENKO[[#This Row],[//]]="","",HYPERLINK("[..\\DB.xlsx]DB!e"&amp;MATCH(KENKO[[#This Row],[concat]],[4]!db[NB NOTA_C],0)+1,"&gt;"))</f>
        <v>&gt;</v>
      </c>
    </row>
    <row r="22" spans="1:25" x14ac:dyDescent="0.25">
      <c r="A22" s="4"/>
      <c r="B22" s="1" t="str">
        <f>IF(KENKO[[#This Row],[N_ID]]="","",INDEX(Table1[ID],MATCH(KENKO[[#This Row],[N_ID]],Table1[N_ID],0)))</f>
        <v/>
      </c>
      <c r="C22" s="1" t="str">
        <f>IF(KENKO[[#This Row],[ID NOTA]]="","",HYPERLINK("[NOTA_.xlsx]NOTA!e"&amp;INDEX([6]!PAJAK[//],MATCH(KENKO[[#This Row],[ID NOTA]],[6]!PAJAK[ID],0)),"&gt;") )</f>
        <v/>
      </c>
      <c r="D22" s="1" t="str">
        <f>IF(KENKO[[#This Row],[ID NOTA]]="","",INDEX(Table1[QB],MATCH(KENKO[[#This Row],[ID NOTA]],Table1[ID],0)))</f>
        <v/>
      </c>
      <c r="E22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" s="1" t="str">
        <f>IF(KENKO[[#This Row],[NO. NOTA]]="","",INDEX([5]KE!$A:$A,MATCH(KENKO[[#This Row],[NO. NOTA]],[5]KE!$D:$D,0)))</f>
        <v/>
      </c>
      <c r="G22" s="3" t="str">
        <f>IF(KENKO[[#This Row],[ID NOTA]]="","",INDEX([6]!NOTA[TGL_H],MATCH(KENKO[[#This Row],[ID NOTA]],[6]!NOTA[ID],0)))</f>
        <v/>
      </c>
      <c r="H22" s="3" t="str">
        <f>IF(KENKO[[#This Row],[ID NOTA]]="","",INDEX([6]!NOTA[TGL.NOTA],MATCH(KENKO[[#This Row],[ID NOTA]],[6]!NOTA[ID],0)))</f>
        <v/>
      </c>
      <c r="I22" s="2" t="str">
        <f>IF(KENKO[[#This Row],[ID NOTA]]="","",INDEX([6]!NOTA[NO.NOTA],MATCH(KENKO[[#This Row],[ID NOTA]],[6]!NOTA[ID],0)))</f>
        <v/>
      </c>
      <c r="J22" t="s">
        <v>136</v>
      </c>
      <c r="K22" s="1" t="str">
        <f>""</f>
        <v/>
      </c>
      <c r="L22" s="1" t="str">
        <f ca="1">IF(KENKO[//]="","",IF(INDEX([6]!NOTA[QTY],KENKO[//]-2)="",INDEX([6]!NOTA[C],KENKO[//]-2),INDEX([6]!NOTA[QTY],KENKO[//]-2)))</f>
        <v/>
      </c>
      <c r="M22" s="1" t="str">
        <f ca="1">IF(KENKO[//]="","",IF(INDEX([6]!NOTA[STN],KENKO[//]-2)="","CTN",INDEX([6]!NOTA[STN],KENKO[//]-2)))</f>
        <v/>
      </c>
      <c r="N22" s="5" t="str">
        <f ca="1">IF(KENKO[[#This Row],[//]]="","",IF(INDEX([6]!NOTA[HARGA/ CTN],KENKO[[#This Row],[//]]-2)="",INDEX([6]!NOTA[HARGA SATUAN],KENKO[//]-2),INDEX([6]!NOTA[HARGA/ CTN],KENKO[[#This Row],[//]]-2)))</f>
        <v/>
      </c>
      <c r="O22" s="8" t="str">
        <f ca="1">IF(KENKO[[#This Row],[//]]="","",INDEX([6]!NOTA[DISC 1],KENKO[[#This Row],[//]]-2))</f>
        <v/>
      </c>
      <c r="P22" s="8" t="str">
        <f ca="1">IF(KENKO[[#This Row],[//]]="","",INDEX([6]!NOTA[DISC 2],KENKO[[#This Row],[//]]-2))</f>
        <v/>
      </c>
      <c r="Q22" s="5" t="str">
        <f ca="1">IF(KENKO[[#This Row],[//]]="","",INDEX([6]!NOTA[JUMLAH],KENKO[[#This Row],[//]]-2)*(100%-IF(ISNUMBER(KENKO[[#This Row],[DISC 1 (%)]]),KENKO[[#This Row],[DISC 1 (%)]],0)))</f>
        <v/>
      </c>
      <c r="R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t="str">
        <f ca="1">IF(KENKO[[#This Row],[//]]="","",INDEX([6]!NOTA[NAMA BARANG],KENKO[[#This Row],[//]]-2))</f>
        <v/>
      </c>
      <c r="V22" t="str">
        <f ca="1">LOWER(SUBSTITUTE(SUBSTITUTE(SUBSTITUTE(SUBSTITUTE(SUBSTITUTE(SUBSTITUTE(SUBSTITUTE(SUBSTITUTE(KENKO[[#This Row],[N.B.nota]]," ",""),"-",""),"(",""),")",""),".",""),",",""),"/",""),"""",""))</f>
        <v/>
      </c>
      <c r="W22" t="s">
        <v>136</v>
      </c>
      <c r="X22" t="str">
        <f ca="1">IF(KENKO[[#This Row],[N.B.nota]]="","",ADDRESS(ROW(KENKO[QB]),COLUMN(KENKO[QB]))&amp;":"&amp;ADDRESS(ROW(),COLUMN(KENKO[QB])))</f>
        <v/>
      </c>
      <c r="Y22" s="14" t="str">
        <f ca="1">IF(KENKO[[#This Row],[//]]="","",HYPERLINK("[..\\DB.xlsx]DB!e"&amp;MATCH(KENKO[[#This Row],[concat]],[4]!db[NB NOTA_C],0)+1,"&gt;"))</f>
        <v/>
      </c>
    </row>
    <row r="23" spans="1:25" x14ac:dyDescent="0.25">
      <c r="A23" s="4" t="s">
        <v>23</v>
      </c>
      <c r="B23" s="1">
        <f ca="1">IF(KENKO[[#This Row],[N_ID]]="","",INDEX(Table1[ID],MATCH(KENKO[[#This Row],[N_ID]],Table1[N_ID],0)))</f>
        <v>39</v>
      </c>
      <c r="C23" s="1" t="str">
        <f ca="1">IF(KENKO[[#This Row],[ID NOTA]]="","",HYPERLINK("[NOTA_.xlsx]NOTA!e"&amp;INDEX([6]!PAJAK[//],MATCH(KENKO[[#This Row],[ID NOTA]],[6]!PAJAK[ID],0)),"&gt;") )</f>
        <v>&gt;</v>
      </c>
      <c r="D23" s="1">
        <f ca="1">IF(KENKO[[#This Row],[ID NOTA]]="","",INDEX(Table1[QB],MATCH(KENKO[[#This Row],[ID NOTA]],Table1[ID],0)))</f>
        <v>7</v>
      </c>
      <c r="E2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187</v>
      </c>
      <c r="F23" s="1" t="e">
        <f ca="1">IF(KENKO[[#This Row],[NO. NOTA]]="","",INDEX([5]KE!$A:$A,MATCH(KENKO[[#This Row],[NO. NOTA]],[5]KE!$D:$D,0)))</f>
        <v>#N/A</v>
      </c>
      <c r="G23" s="3">
        <f ca="1">IF(KENKO[[#This Row],[ID NOTA]]="","",INDEX([6]!NOTA[TGL_H],MATCH(KENKO[[#This Row],[ID NOTA]],[6]!NOTA[ID],0)))</f>
        <v>44749</v>
      </c>
      <c r="H23" s="3">
        <f ca="1">IF(KENKO[[#This Row],[ID NOTA]]="","",INDEX([6]!NOTA[TGL.NOTA],MATCH(KENKO[[#This Row],[ID NOTA]],[6]!NOTA[ID],0)))</f>
        <v>44747</v>
      </c>
      <c r="I23" s="2">
        <f ca="1">IF(KENKO[[#This Row],[ID NOTA]]="","",INDEX([6]!NOTA[NO.NOTA],MATCH(KENKO[[#This Row],[ID NOTA]],[6]!NOTA[ID],0)))</f>
        <v>22070298</v>
      </c>
      <c r="J23" t="s">
        <v>172</v>
      </c>
      <c r="K23" s="1" t="str">
        <f>""</f>
        <v/>
      </c>
      <c r="L23" s="1">
        <f ca="1">IF(KENKO[//]="","",IF(INDEX([6]!NOTA[QTY],KENKO[//]-2)="",INDEX([6]!NOTA[C],KENKO[//]-2),INDEX([6]!NOTA[QTY],KENKO[//]-2)))</f>
        <v>2</v>
      </c>
      <c r="M23" s="1" t="str">
        <f ca="1">IF(KENKO[//]="","",IF(INDEX([6]!NOTA[STN],KENKO[//]-2)="","CTN",INDEX([6]!NOTA[STN],KENKO[//]-2)))</f>
        <v>CTN</v>
      </c>
      <c r="N23" s="5">
        <f ca="1">IF(KENKO[[#This Row],[//]]="","",IF(INDEX([6]!NOTA[HARGA/ CTN],KENKO[[#This Row],[//]]-2)="",INDEX([6]!NOTA[HARGA SATUAN],KENKO[//]-2),INDEX([6]!NOTA[HARGA/ CTN],KENKO[[#This Row],[//]]-2)))</f>
        <v>2952000</v>
      </c>
      <c r="O23" s="8">
        <f ca="1">IF(KENKO[[#This Row],[//]]="","",INDEX([6]!NOTA[DISC 1],KENKO[[#This Row],[//]]-2))</f>
        <v>0.17</v>
      </c>
      <c r="P23" s="8">
        <f ca="1">IF(KENKO[[#This Row],[//]]="","",INDEX([6]!NOTA[DISC 2],KENKO[[#This Row],[//]]-2))</f>
        <v>0</v>
      </c>
      <c r="Q23" s="5">
        <f ca="1">IF(KENKO[[#This Row],[//]]="","",INDEX([6]!NOTA[JUMLAH],KENKO[[#This Row],[//]]-2)*(100%-IF(ISNUMBER(KENKO[[#This Row],[DISC 1 (%)]]),KENKO[[#This Row],[DISC 1 (%)]],0)))</f>
        <v>4900320</v>
      </c>
      <c r="R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t="str">
        <f ca="1">IF(KENKO[[#This Row],[//]]="","",INDEX([6]!NOTA[NAMA BARANG],KENKO[[#This Row],[//]]-2))</f>
        <v>KENKO CUTTER L-500 (18MM BLADE)</v>
      </c>
      <c r="V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3" t="s">
        <v>137</v>
      </c>
      <c r="X23" t="str">
        <f ca="1">IF(KENKO[[#This Row],[N.B.nota]]="","",ADDRESS(ROW(KENKO[QB]),COLUMN(KENKO[QB]))&amp;":"&amp;ADDRESS(ROW(),COLUMN(KENKO[QB])))</f>
        <v>$D$3:$D$23</v>
      </c>
      <c r="Y23" s="14" t="str">
        <f ca="1">IF(KENKO[[#This Row],[//]]="","",HYPERLINK("[..\\DB.xlsx]DB!e"&amp;MATCH(KENKO[[#This Row],[concat]],[4]!db[NB NOTA_C],0)+1,"&gt;"))</f>
        <v>&gt;</v>
      </c>
    </row>
    <row r="24" spans="1:25" x14ac:dyDescent="0.25">
      <c r="A24" s="4"/>
      <c r="B24" s="1" t="str">
        <f>IF(KENKO[[#This Row],[N_ID]]="","",INDEX(Table1[ID],MATCH(KENKO[[#This Row],[N_ID]],Table1[N_ID],0)))</f>
        <v/>
      </c>
      <c r="C24" s="1" t="str">
        <f>IF(KENKO[[#This Row],[ID NOTA]]="","",HYPERLINK("[NOTA_.xlsx]NOTA!e"&amp;INDEX([6]!PAJAK[//],MATCH(KENKO[[#This Row],[ID NOTA]],[6]!PAJAK[ID],0)),"&gt;") )</f>
        <v/>
      </c>
      <c r="D24" s="1" t="str">
        <f>IF(KENKO[[#This Row],[ID NOTA]]="","",INDEX(Table1[QB],MATCH(KENKO[[#This Row],[ID NOTA]],Table1[ID],0)))</f>
        <v/>
      </c>
      <c r="E2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188</v>
      </c>
      <c r="F24" s="1" t="str">
        <f>IF(KENKO[[#This Row],[NO. NOTA]]="","",INDEX([5]KE!$A:$A,MATCH(KENKO[[#This Row],[NO. NOTA]],[5]KE!$D:$D,0)))</f>
        <v/>
      </c>
      <c r="G24" s="3" t="str">
        <f>IF(KENKO[[#This Row],[ID NOTA]]="","",INDEX([6]!NOTA[TGL_H],MATCH(KENKO[[#This Row],[ID NOTA]],[6]!NOTA[ID],0)))</f>
        <v/>
      </c>
      <c r="H24" s="3" t="str">
        <f>IF(KENKO[[#This Row],[ID NOTA]]="","",INDEX([6]!NOTA[TGL.NOTA],MATCH(KENKO[[#This Row],[ID NOTA]],[6]!NOTA[ID],0)))</f>
        <v/>
      </c>
      <c r="I24" s="2" t="str">
        <f>IF(KENKO[[#This Row],[ID NOTA]]="","",INDEX([6]!NOTA[NO.NOTA],MATCH(KENKO[[#This Row],[ID NOTA]],[6]!NOTA[ID],0)))</f>
        <v/>
      </c>
      <c r="J24" t="s">
        <v>170</v>
      </c>
      <c r="K24" s="1" t="str">
        <f>""</f>
        <v/>
      </c>
      <c r="L24" s="1">
        <f ca="1">IF(KENKO[//]="","",IF(INDEX([6]!NOTA[QTY],KENKO[//]-2)="",INDEX([6]!NOTA[C],KENKO[//]-2),INDEX([6]!NOTA[QTY],KENKO[//]-2)))</f>
        <v>6</v>
      </c>
      <c r="M24" s="1" t="str">
        <f ca="1">IF(KENKO[//]="","",IF(INDEX([6]!NOTA[STN],KENKO[//]-2)="","CTN",INDEX([6]!NOTA[STN],KENKO[//]-2)))</f>
        <v>CTN</v>
      </c>
      <c r="N24" s="5">
        <f ca="1">IF(KENKO[[#This Row],[//]]="","",IF(INDEX([6]!NOTA[HARGA/ CTN],KENKO[[#This Row],[//]]-2)="",INDEX([6]!NOTA[HARGA SATUAN],KENKO[//]-2),INDEX([6]!NOTA[HARGA/ CTN],KENKO[[#This Row],[//]]-2)))</f>
        <v>3758400</v>
      </c>
      <c r="O24" s="8">
        <f ca="1">IF(KENKO[[#This Row],[//]]="","",INDEX([6]!NOTA[DISC 1],KENKO[[#This Row],[//]]-2))</f>
        <v>0.17</v>
      </c>
      <c r="P24" s="8">
        <f ca="1">IF(KENKO[[#This Row],[//]]="","",INDEX([6]!NOTA[DISC 2],KENKO[[#This Row],[//]]-2))</f>
        <v>0</v>
      </c>
      <c r="Q24" s="5">
        <f ca="1">IF(KENKO[[#This Row],[//]]="","",INDEX([6]!NOTA[JUMLAH],KENKO[[#This Row],[//]]-2)*(100%-IF(ISNUMBER(KENKO[[#This Row],[DISC 1 (%)]]),KENKO[[#This Row],[DISC 1 (%)]],0)))</f>
        <v>18716832</v>
      </c>
      <c r="R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t="str">
        <f ca="1">IF(KENKO[[#This Row],[//]]="","",INDEX([6]!NOTA[NAMA BARANG],KENKO[[#This Row],[//]]-2))</f>
        <v>KENKO GEL PEN EASY GEL BLACK</v>
      </c>
      <c r="V2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24" t="s">
        <v>137</v>
      </c>
      <c r="X24" t="str">
        <f ca="1">IF(KENKO[[#This Row],[N.B.nota]]="","",ADDRESS(ROW(KENKO[QB]),COLUMN(KENKO[QB]))&amp;":"&amp;ADDRESS(ROW(),COLUMN(KENKO[QB])))</f>
        <v>$D$3:$D$24</v>
      </c>
      <c r="Y24" s="14" t="str">
        <f ca="1">IF(KENKO[[#This Row],[//]]="","",HYPERLINK("[..\\DB.xlsx]DB!e"&amp;MATCH(KENKO[[#This Row],[concat]],[4]!db[NB NOTA_C],0)+1,"&gt;"))</f>
        <v>&gt;</v>
      </c>
    </row>
    <row r="25" spans="1:25" x14ac:dyDescent="0.25">
      <c r="A25" s="4"/>
      <c r="B25" s="1" t="str">
        <f>IF(KENKO[[#This Row],[N_ID]]="","",INDEX(Table1[ID],MATCH(KENKO[[#This Row],[N_ID]],Table1[N_ID],0)))</f>
        <v/>
      </c>
      <c r="C25" s="1" t="str">
        <f>IF(KENKO[[#This Row],[ID NOTA]]="","",HYPERLINK("[NOTA_.xlsx]NOTA!e"&amp;INDEX([6]!PAJAK[//],MATCH(KENKO[[#This Row],[ID NOTA]],[6]!PAJAK[ID],0)),"&gt;") )</f>
        <v/>
      </c>
      <c r="D25" s="1" t="str">
        <f>IF(KENKO[[#This Row],[ID NOTA]]="","",INDEX(Table1[QB],MATCH(KENKO[[#This Row],[ID NOTA]],Table1[ID],0)))</f>
        <v/>
      </c>
      <c r="E2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189</v>
      </c>
      <c r="F25" s="1" t="str">
        <f>IF(KENKO[[#This Row],[NO. NOTA]]="","",INDEX([5]KE!$A:$A,MATCH(KENKO[[#This Row],[NO. NOTA]],[5]KE!$D:$D,0)))</f>
        <v/>
      </c>
      <c r="G25" s="3" t="str">
        <f>IF(KENKO[[#This Row],[ID NOTA]]="","",INDEX([6]!NOTA[TGL_H],MATCH(KENKO[[#This Row],[ID NOTA]],[6]!NOTA[ID],0)))</f>
        <v/>
      </c>
      <c r="H25" s="3" t="str">
        <f>IF(KENKO[[#This Row],[ID NOTA]]="","",INDEX([6]!NOTA[TGL.NOTA],MATCH(KENKO[[#This Row],[ID NOTA]],[6]!NOTA[ID],0)))</f>
        <v/>
      </c>
      <c r="I25" s="2" t="str">
        <f>IF(KENKO[[#This Row],[ID NOTA]]="","",INDEX([6]!NOTA[NO.NOTA],MATCH(KENKO[[#This Row],[ID NOTA]],[6]!NOTA[ID],0)))</f>
        <v/>
      </c>
      <c r="J25" t="s">
        <v>175</v>
      </c>
      <c r="K25" s="1" t="str">
        <f>""</f>
        <v/>
      </c>
      <c r="L25" s="1">
        <f ca="1">IF(KENKO[//]="","",IF(INDEX([6]!NOTA[QTY],KENKO[//]-2)="",INDEX([6]!NOTA[C],KENKO[//]-2),INDEX([6]!NOTA[QTY],KENKO[//]-2)))</f>
        <v>1</v>
      </c>
      <c r="M25" s="1" t="str">
        <f ca="1">IF(KENKO[//]="","",IF(INDEX([6]!NOTA[STN],KENKO[//]-2)="","CTN",INDEX([6]!NOTA[STN],KENKO[//]-2)))</f>
        <v>CTN</v>
      </c>
      <c r="N25" s="5">
        <f ca="1">IF(KENKO[[#This Row],[//]]="","",IF(INDEX([6]!NOTA[HARGA/ CTN],KENKO[[#This Row],[//]]-2)="",INDEX([6]!NOTA[HARGA SATUAN],KENKO[//]-2),INDEX([6]!NOTA[HARGA/ CTN],KENKO[[#This Row],[//]]-2)))</f>
        <v>5443200</v>
      </c>
      <c r="O25" s="8">
        <f ca="1">IF(KENKO[[#This Row],[//]]="","",INDEX([6]!NOTA[DISC 1],KENKO[[#This Row],[//]]-2))</f>
        <v>0.17</v>
      </c>
      <c r="P25" s="8">
        <f ca="1">IF(KENKO[[#This Row],[//]]="","",INDEX([6]!NOTA[DISC 2],KENKO[[#This Row],[//]]-2))</f>
        <v>0</v>
      </c>
      <c r="Q25" s="5">
        <f ca="1">IF(KENKO[[#This Row],[//]]="","",INDEX([6]!NOTA[JUMLAH],KENKO[[#This Row],[//]]-2)*(100%-IF(ISNUMBER(KENKO[[#This Row],[DISC 1 (%)]]),KENKO[[#This Row],[DISC 1 (%)]],0)))</f>
        <v>4517856</v>
      </c>
      <c r="R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t="str">
        <f ca="1">IF(KENKO[[#This Row],[//]]="","",INDEX([6]!NOTA[NAMA BARANG],KENKO[[#This Row],[//]]-2))</f>
        <v>KENKO GEL PEN K-1 BLACK</v>
      </c>
      <c r="V25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25" t="s">
        <v>137</v>
      </c>
      <c r="X25" t="str">
        <f ca="1">IF(KENKO[[#This Row],[N.B.nota]]="","",ADDRESS(ROW(KENKO[QB]),COLUMN(KENKO[QB]))&amp;":"&amp;ADDRESS(ROW(),COLUMN(KENKO[QB])))</f>
        <v>$D$3:$D$25</v>
      </c>
      <c r="Y25" s="14" t="str">
        <f ca="1">IF(KENKO[[#This Row],[//]]="","",HYPERLINK("[..\\DB.xlsx]DB!e"&amp;MATCH(KENKO[[#This Row],[concat]],[4]!db[NB NOTA_C],0)+1,"&gt;"))</f>
        <v>&gt;</v>
      </c>
    </row>
    <row r="26" spans="1:25" x14ac:dyDescent="0.25">
      <c r="A26" s="4"/>
      <c r="B26" s="1" t="str">
        <f>IF(KENKO[[#This Row],[N_ID]]="","",INDEX(Table1[ID],MATCH(KENKO[[#This Row],[N_ID]],Table1[N_ID],0)))</f>
        <v/>
      </c>
      <c r="C26" s="1" t="str">
        <f>IF(KENKO[[#This Row],[ID NOTA]]="","",HYPERLINK("[NOTA_.xlsx]NOTA!e"&amp;INDEX([6]!PAJAK[//],MATCH(KENKO[[#This Row],[ID NOTA]],[6]!PAJAK[ID],0)),"&gt;") )</f>
        <v/>
      </c>
      <c r="D26" s="1" t="str">
        <f>IF(KENKO[[#This Row],[ID NOTA]]="","",INDEX(Table1[QB],MATCH(KENKO[[#This Row],[ID NOTA]],Table1[ID],0)))</f>
        <v/>
      </c>
      <c r="E2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190</v>
      </c>
      <c r="F26" s="1" t="str">
        <f>IF(KENKO[[#This Row],[NO. NOTA]]="","",INDEX([5]KE!$A:$A,MATCH(KENKO[[#This Row],[NO. NOTA]],[5]KE!$D:$D,0)))</f>
        <v/>
      </c>
      <c r="G26" s="3" t="str">
        <f>IF(KENKO[[#This Row],[ID NOTA]]="","",INDEX([6]!NOTA[TGL_H],MATCH(KENKO[[#This Row],[ID NOTA]],[6]!NOTA[ID],0)))</f>
        <v/>
      </c>
      <c r="H26" s="3" t="str">
        <f>IF(KENKO[[#This Row],[ID NOTA]]="","",INDEX([6]!NOTA[TGL.NOTA],MATCH(KENKO[[#This Row],[ID NOTA]],[6]!NOTA[ID],0)))</f>
        <v/>
      </c>
      <c r="I26" s="2" t="str">
        <f>IF(KENKO[[#This Row],[ID NOTA]]="","",INDEX([6]!NOTA[NO.NOTA],MATCH(KENKO[[#This Row],[ID NOTA]],[6]!NOTA[ID],0)))</f>
        <v/>
      </c>
      <c r="J26" t="s">
        <v>168</v>
      </c>
      <c r="K26" s="1" t="str">
        <f>""</f>
        <v/>
      </c>
      <c r="L26" s="1">
        <f ca="1">IF(KENKO[//]="","",IF(INDEX([6]!NOTA[QTY],KENKO[//]-2)="",INDEX([6]!NOTA[C],KENKO[//]-2),INDEX([6]!NOTA[QTY],KENKO[//]-2)))</f>
        <v>5</v>
      </c>
      <c r="M26" s="1" t="str">
        <f ca="1">IF(KENKO[//]="","",IF(INDEX([6]!NOTA[STN],KENKO[//]-2)="","CTN",INDEX([6]!NOTA[STN],KENKO[//]-2)))</f>
        <v>CTN</v>
      </c>
      <c r="N26" s="5">
        <f ca="1">IF(KENKO[[#This Row],[//]]="","",IF(INDEX([6]!NOTA[HARGA/ CTN],KENKO[[#This Row],[//]]-2)="",INDEX([6]!NOTA[HARGA SATUAN],KENKO[//]-2),INDEX([6]!NOTA[HARGA/ CTN],KENKO[[#This Row],[//]]-2)))</f>
        <v>5356800</v>
      </c>
      <c r="O26" s="8">
        <f ca="1">IF(KENKO[[#This Row],[//]]="","",INDEX([6]!NOTA[DISC 1],KENKO[[#This Row],[//]]-2))</f>
        <v>0.17</v>
      </c>
      <c r="P26" s="8">
        <f ca="1">IF(KENKO[[#This Row],[//]]="","",INDEX([6]!NOTA[DISC 2],KENKO[[#This Row],[//]]-2))</f>
        <v>0</v>
      </c>
      <c r="Q26" s="5">
        <f ca="1">IF(KENKO[[#This Row],[//]]="","",INDEX([6]!NOTA[JUMLAH],KENKO[[#This Row],[//]]-2)*(100%-IF(ISNUMBER(KENKO[[#This Row],[DISC 1 (%)]]),KENKO[[#This Row],[DISC 1 (%)]],0)))</f>
        <v>22230720</v>
      </c>
      <c r="R2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t="str">
        <f ca="1">IF(KENKO[[#This Row],[//]]="","",INDEX([6]!NOTA[NAMA BARANG],KENKO[[#This Row],[//]]-2))</f>
        <v>KENKO GEL PEN HI-TECH-H 0.28MM BLACK</v>
      </c>
      <c r="V2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6" t="s">
        <v>137</v>
      </c>
      <c r="X26" t="str">
        <f ca="1">IF(KENKO[[#This Row],[N.B.nota]]="","",ADDRESS(ROW(KENKO[QB]),COLUMN(KENKO[QB]))&amp;":"&amp;ADDRESS(ROW(),COLUMN(KENKO[QB])))</f>
        <v>$D$3:$D$26</v>
      </c>
      <c r="Y26" s="14" t="str">
        <f ca="1">IF(KENKO[[#This Row],[//]]="","",HYPERLINK("[..\\DB.xlsx]DB!e"&amp;MATCH(KENKO[[#This Row],[concat]],[4]!db[NB NOTA_C],0)+1,"&gt;"))</f>
        <v>&gt;</v>
      </c>
    </row>
    <row r="27" spans="1:25" x14ac:dyDescent="0.25">
      <c r="A27" s="4"/>
      <c r="B27" s="1" t="str">
        <f>IF(KENKO[[#This Row],[N_ID]]="","",INDEX(Table1[ID],MATCH(KENKO[[#This Row],[N_ID]],Table1[N_ID],0)))</f>
        <v/>
      </c>
      <c r="C27" s="1" t="str">
        <f>IF(KENKO[[#This Row],[ID NOTA]]="","",HYPERLINK("[NOTA_.xlsx]NOTA!e"&amp;INDEX([6]!PAJAK[//],MATCH(KENKO[[#This Row],[ID NOTA]],[6]!PAJAK[ID],0)),"&gt;") )</f>
        <v/>
      </c>
      <c r="D27" s="1" t="str">
        <f>IF(KENKO[[#This Row],[ID NOTA]]="","",INDEX(Table1[QB],MATCH(KENKO[[#This Row],[ID NOTA]],Table1[ID],0)))</f>
        <v/>
      </c>
      <c r="E2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191</v>
      </c>
      <c r="F27" s="1" t="str">
        <f>IF(KENKO[[#This Row],[NO. NOTA]]="","",INDEX([5]KE!$A:$A,MATCH(KENKO[[#This Row],[NO. NOTA]],[5]KE!$D:$D,0)))</f>
        <v/>
      </c>
      <c r="G27" s="3" t="str">
        <f>IF(KENKO[[#This Row],[ID NOTA]]="","",INDEX([6]!NOTA[TGL_H],MATCH(KENKO[[#This Row],[ID NOTA]],[6]!NOTA[ID],0)))</f>
        <v/>
      </c>
      <c r="H27" s="3" t="str">
        <f>IF(KENKO[[#This Row],[ID NOTA]]="","",INDEX([6]!NOTA[TGL.NOTA],MATCH(KENKO[[#This Row],[ID NOTA]],[6]!NOTA[ID],0)))</f>
        <v/>
      </c>
      <c r="I27" s="2" t="str">
        <f>IF(KENKO[[#This Row],[ID NOTA]]="","",INDEX([6]!NOTA[NO.NOTA],MATCH(KENKO[[#This Row],[ID NOTA]],[6]!NOTA[ID],0)))</f>
        <v/>
      </c>
      <c r="J27" t="s">
        <v>176</v>
      </c>
      <c r="K27" s="1" t="str">
        <f>""</f>
        <v/>
      </c>
      <c r="L27" s="1">
        <f ca="1">IF(KENKO[//]="","",IF(INDEX([6]!NOTA[QTY],KENKO[//]-2)="",INDEX([6]!NOTA[C],KENKO[//]-2),INDEX([6]!NOTA[QTY],KENKO[//]-2)))</f>
        <v>5</v>
      </c>
      <c r="M27" s="1" t="str">
        <f ca="1">IF(KENKO[//]="","",IF(INDEX([6]!NOTA[STN],KENKO[//]-2)="","CTN",INDEX([6]!NOTA[STN],KENKO[//]-2)))</f>
        <v>CTN</v>
      </c>
      <c r="N27" s="5">
        <f ca="1">IF(KENKO[[#This Row],[//]]="","",IF(INDEX([6]!NOTA[HARGA/ CTN],KENKO[[#This Row],[//]]-2)="",INDEX([6]!NOTA[HARGA SATUAN],KENKO[//]-2),INDEX([6]!NOTA[HARGA/ CTN],KENKO[[#This Row],[//]]-2)))</f>
        <v>5356800</v>
      </c>
      <c r="O27" s="8">
        <f ca="1">IF(KENKO[[#This Row],[//]]="","",INDEX([6]!NOTA[DISC 1],KENKO[[#This Row],[//]]-2))</f>
        <v>0.17</v>
      </c>
      <c r="P27" s="8">
        <f ca="1">IF(KENKO[[#This Row],[//]]="","",INDEX([6]!NOTA[DISC 2],KENKO[[#This Row],[//]]-2))</f>
        <v>0</v>
      </c>
      <c r="Q27" s="5">
        <f ca="1">IF(KENKO[[#This Row],[//]]="","",INDEX([6]!NOTA[JUMLAH],KENKO[[#This Row],[//]]-2)*(100%-IF(ISNUMBER(KENKO[[#This Row],[DISC 1 (%)]]),KENKO[[#This Row],[DISC 1 (%)]],0)))</f>
        <v>22230720</v>
      </c>
      <c r="R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t="str">
        <f ca="1">IF(KENKO[[#This Row],[//]]="","",INDEX([6]!NOTA[NAMA BARANG],KENKO[[#This Row],[//]]-2))</f>
        <v>KENKO GEL PEN HI-TECH-H 0.28MM BLUE</v>
      </c>
      <c r="V27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7" t="s">
        <v>137</v>
      </c>
      <c r="X27" t="str">
        <f ca="1">IF(KENKO[[#This Row],[N.B.nota]]="","",ADDRESS(ROW(KENKO[QB]),COLUMN(KENKO[QB]))&amp;":"&amp;ADDRESS(ROW(),COLUMN(KENKO[QB])))</f>
        <v>$D$3:$D$27</v>
      </c>
      <c r="Y27" s="14" t="str">
        <f ca="1">IF(KENKO[[#This Row],[//]]="","",HYPERLINK("[..\\DB.xlsx]DB!e"&amp;MATCH(KENKO[[#This Row],[concat]],[4]!db[NB NOTA_C],0)+1,"&gt;"))</f>
        <v>&gt;</v>
      </c>
    </row>
    <row r="28" spans="1:25" x14ac:dyDescent="0.25">
      <c r="A28" s="4"/>
      <c r="B28" s="1" t="str">
        <f>IF(KENKO[[#This Row],[N_ID]]="","",INDEX(Table1[ID],MATCH(KENKO[[#This Row],[N_ID]],Table1[N_ID],0)))</f>
        <v/>
      </c>
      <c r="C28" s="1" t="str">
        <f>IF(KENKO[[#This Row],[ID NOTA]]="","",HYPERLINK("[NOTA_.xlsx]NOTA!e"&amp;INDEX([6]!PAJAK[//],MATCH(KENKO[[#This Row],[ID NOTA]],[6]!PAJAK[ID],0)),"&gt;") )</f>
        <v/>
      </c>
      <c r="D28" s="1" t="str">
        <f>IF(KENKO[[#This Row],[ID NOTA]]="","",INDEX(Table1[QB],MATCH(KENKO[[#This Row],[ID NOTA]],Table1[ID],0)))</f>
        <v/>
      </c>
      <c r="E2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192</v>
      </c>
      <c r="F28" s="1" t="str">
        <f>IF(KENKO[[#This Row],[NO. NOTA]]="","",INDEX([5]KE!$A:$A,MATCH(KENKO[[#This Row],[NO. NOTA]],[5]KE!$D:$D,0)))</f>
        <v/>
      </c>
      <c r="G28" s="3" t="str">
        <f>IF(KENKO[[#This Row],[ID NOTA]]="","",INDEX([6]!NOTA[TGL_H],MATCH(KENKO[[#This Row],[ID NOTA]],[6]!NOTA[ID],0)))</f>
        <v/>
      </c>
      <c r="H28" s="3" t="str">
        <f>IF(KENKO[[#This Row],[ID NOTA]]="","",INDEX([6]!NOTA[TGL.NOTA],MATCH(KENKO[[#This Row],[ID NOTA]],[6]!NOTA[ID],0)))</f>
        <v/>
      </c>
      <c r="I28" s="2" t="str">
        <f>IF(KENKO[[#This Row],[ID NOTA]]="","",INDEX([6]!NOTA[NO.NOTA],MATCH(KENKO[[#This Row],[ID NOTA]],[6]!NOTA[ID],0)))</f>
        <v/>
      </c>
      <c r="J28" t="s">
        <v>177</v>
      </c>
      <c r="K28" s="1" t="str">
        <f>""</f>
        <v/>
      </c>
      <c r="L28" s="1">
        <f ca="1">IF(KENKO[//]="","",IF(INDEX([6]!NOTA[QTY],KENKO[//]-2)="",INDEX([6]!NOTA[C],KENKO[//]-2),INDEX([6]!NOTA[QTY],KENKO[//]-2)))</f>
        <v>3</v>
      </c>
      <c r="M28" s="1" t="str">
        <f ca="1">IF(KENKO[//]="","",IF(INDEX([6]!NOTA[STN],KENKO[//]-2)="","CTN",INDEX([6]!NOTA[STN],KENKO[//]-2)))</f>
        <v>CTN</v>
      </c>
      <c r="N28" s="5">
        <f ca="1">IF(KENKO[[#This Row],[//]]="","",IF(INDEX([6]!NOTA[HARGA/ CTN],KENKO[[#This Row],[//]]-2)="",INDEX([6]!NOTA[HARGA SATUAN],KENKO[//]-2),INDEX([6]!NOTA[HARGA/ CTN],KENKO[[#This Row],[//]]-2)))</f>
        <v>3110400</v>
      </c>
      <c r="O28" s="8">
        <f ca="1">IF(KENKO[[#This Row],[//]]="","",INDEX([6]!NOTA[DISC 1],KENKO[[#This Row],[//]]-2))</f>
        <v>0.17</v>
      </c>
      <c r="P28" s="8">
        <f ca="1">IF(KENKO[[#This Row],[//]]="","",INDEX([6]!NOTA[DISC 2],KENKO[[#This Row],[//]]-2))</f>
        <v>0</v>
      </c>
      <c r="Q28" s="5">
        <f ca="1">IF(KENKO[[#This Row],[//]]="","",INDEX([6]!NOTA[JUMLAH],KENKO[[#This Row],[//]]-2)*(100%-IF(ISNUMBER(KENKO[[#This Row],[DISC 1 (%)]]),KENKO[[#This Row],[DISC 1 (%)]],0)))</f>
        <v>7744896</v>
      </c>
      <c r="R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t="str">
        <f ca="1">IF(KENKO[[#This Row],[//]]="","",INDEX([6]!NOTA[NAMA BARANG],KENKO[[#This Row],[//]]-2))</f>
        <v>KENKO GEL PEN KE-303 T-GEL TRIANGULAR BLACK</v>
      </c>
      <c r="V28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28" t="s">
        <v>137</v>
      </c>
      <c r="X28" t="str">
        <f ca="1">IF(KENKO[[#This Row],[N.B.nota]]="","",ADDRESS(ROW(KENKO[QB]),COLUMN(KENKO[QB]))&amp;":"&amp;ADDRESS(ROW(),COLUMN(KENKO[QB])))</f>
        <v>$D$3:$D$28</v>
      </c>
      <c r="Y28" s="14" t="str">
        <f ca="1">IF(KENKO[[#This Row],[//]]="","",HYPERLINK("[..\\DB.xlsx]DB!e"&amp;MATCH(KENKO[[#This Row],[concat]],[4]!db[NB NOTA_C],0)+1,"&gt;"))</f>
        <v>&gt;</v>
      </c>
    </row>
    <row r="29" spans="1:25" x14ac:dyDescent="0.25">
      <c r="A29" s="4"/>
      <c r="B29" s="1" t="str">
        <f>IF(KENKO[[#This Row],[N_ID]]="","",INDEX(Table1[ID],MATCH(KENKO[[#This Row],[N_ID]],Table1[N_ID],0)))</f>
        <v/>
      </c>
      <c r="C29" s="1" t="str">
        <f>IF(KENKO[[#This Row],[ID NOTA]]="","",HYPERLINK("[NOTA_.xlsx]NOTA!e"&amp;INDEX([6]!PAJAK[//],MATCH(KENKO[[#This Row],[ID NOTA]],[6]!PAJAK[ID],0)),"&gt;") )</f>
        <v/>
      </c>
      <c r="D29" s="1" t="str">
        <f>IF(KENKO[[#This Row],[ID NOTA]]="","",INDEX(Table1[QB],MATCH(KENKO[[#This Row],[ID NOTA]],Table1[ID],0)))</f>
        <v/>
      </c>
      <c r="E2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193</v>
      </c>
      <c r="F29" s="1" t="str">
        <f>IF(KENKO[[#This Row],[NO. NOTA]]="","",INDEX([5]KE!$A:$A,MATCH(KENKO[[#This Row],[NO. NOTA]],[5]KE!$D:$D,0)))</f>
        <v/>
      </c>
      <c r="G29" s="3" t="str">
        <f>IF(KENKO[[#This Row],[ID NOTA]]="","",INDEX([6]!NOTA[TGL_H],MATCH(KENKO[[#This Row],[ID NOTA]],[6]!NOTA[ID],0)))</f>
        <v/>
      </c>
      <c r="H29" s="3" t="str">
        <f>IF(KENKO[[#This Row],[ID NOTA]]="","",INDEX([6]!NOTA[TGL.NOTA],MATCH(KENKO[[#This Row],[ID NOTA]],[6]!NOTA[ID],0)))</f>
        <v/>
      </c>
      <c r="I29" s="2" t="str">
        <f>IF(KENKO[[#This Row],[ID NOTA]]="","",INDEX([6]!NOTA[NO.NOTA],MATCH(KENKO[[#This Row],[ID NOTA]],[6]!NOTA[ID],0)))</f>
        <v/>
      </c>
      <c r="J29" t="s">
        <v>170</v>
      </c>
      <c r="K29" s="1" t="str">
        <f>""</f>
        <v/>
      </c>
      <c r="L29" s="1">
        <f ca="1">IF(KENKO[//]="","",IF(INDEX([6]!NOTA[QTY],KENKO[//]-2)="",INDEX([6]!NOTA[C],KENKO[//]-2),INDEX([6]!NOTA[QTY],KENKO[//]-2)))</f>
        <v>5</v>
      </c>
      <c r="M29" s="1" t="str">
        <f ca="1">IF(KENKO[//]="","",IF(INDEX([6]!NOTA[STN],KENKO[//]-2)="","CTN",INDEX([6]!NOTA[STN],KENKO[//]-2)))</f>
        <v>CTN</v>
      </c>
      <c r="N29" s="5">
        <f ca="1">IF(KENKO[[#This Row],[//]]="","",IF(INDEX([6]!NOTA[HARGA/ CTN],KENKO[[#This Row],[//]]-2)="",INDEX([6]!NOTA[HARGA SATUAN],KENKO[//]-2),INDEX([6]!NOTA[HARGA/ CTN],KENKO[[#This Row],[//]]-2)))</f>
        <v>3758400</v>
      </c>
      <c r="O29" s="8">
        <f ca="1">IF(KENKO[[#This Row],[//]]="","",INDEX([6]!NOTA[DISC 1],KENKO[[#This Row],[//]]-2))</f>
        <v>0.17</v>
      </c>
      <c r="P29" s="8">
        <f ca="1">IF(KENKO[[#This Row],[//]]="","",INDEX([6]!NOTA[DISC 2],KENKO[[#This Row],[//]]-2))</f>
        <v>0</v>
      </c>
      <c r="Q29" s="5">
        <f ca="1">IF(KENKO[[#This Row],[//]]="","",INDEX([6]!NOTA[JUMLAH],KENKO[[#This Row],[//]]-2)*(100%-IF(ISNUMBER(KENKO[[#This Row],[DISC 1 (%)]]),KENKO[[#This Row],[DISC 1 (%)]],0)))</f>
        <v>15597360</v>
      </c>
      <c r="R2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19650096</v>
      </c>
      <c r="S2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95938704</v>
      </c>
      <c r="T2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t="str">
        <f ca="1">IF(KENKO[[#This Row],[//]]="","",INDEX([6]!NOTA[NAMA BARANG],KENKO[[#This Row],[//]]-2))</f>
        <v>KENKO GEL PEN EASY GEL BLACK</v>
      </c>
      <c r="V29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29" t="s">
        <v>137</v>
      </c>
      <c r="X29" t="str">
        <f ca="1">IF(KENKO[[#This Row],[N.B.nota]]="","",ADDRESS(ROW(KENKO[QB]),COLUMN(KENKO[QB]))&amp;":"&amp;ADDRESS(ROW(),COLUMN(KENKO[QB])))</f>
        <v>$D$3:$D$29</v>
      </c>
      <c r="Y29" s="14" t="str">
        <f ca="1">IF(KENKO[[#This Row],[//]]="","",HYPERLINK("[..\\DB.xlsx]DB!e"&amp;MATCH(KENKO[[#This Row],[concat]],[4]!db[NB NOTA_C],0)+1,"&gt;"))</f>
        <v>&gt;</v>
      </c>
    </row>
    <row r="30" spans="1:25" x14ac:dyDescent="0.25">
      <c r="A30" s="4"/>
      <c r="B30" s="1" t="str">
        <f>IF(KENKO[[#This Row],[N_ID]]="","",INDEX(Table1[ID],MATCH(KENKO[[#This Row],[N_ID]],Table1[N_ID],0)))</f>
        <v/>
      </c>
      <c r="C30" s="1" t="str">
        <f>IF(KENKO[[#This Row],[ID NOTA]]="","",HYPERLINK("[NOTA_.xlsx]NOTA!e"&amp;INDEX([6]!PAJAK[//],MATCH(KENKO[[#This Row],[ID NOTA]],[6]!PAJAK[ID],0)),"&gt;") )</f>
        <v/>
      </c>
      <c r="D30" s="1" t="str">
        <f>IF(KENKO[[#This Row],[ID NOTA]]="","",INDEX(Table1[QB],MATCH(KENKO[[#This Row],[ID NOTA]],Table1[ID],0)))</f>
        <v/>
      </c>
      <c r="E30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" s="1" t="str">
        <f>IF(KENKO[[#This Row],[NO. NOTA]]="","",INDEX([5]KE!$A:$A,MATCH(KENKO[[#This Row],[NO. NOTA]],[5]KE!$D:$D,0)))</f>
        <v/>
      </c>
      <c r="G30" s="3" t="str">
        <f>IF(KENKO[[#This Row],[ID NOTA]]="","",INDEX([6]!NOTA[TGL_H],MATCH(KENKO[[#This Row],[ID NOTA]],[6]!NOTA[ID],0)))</f>
        <v/>
      </c>
      <c r="H30" s="3" t="str">
        <f>IF(KENKO[[#This Row],[ID NOTA]]="","",INDEX([6]!NOTA[TGL.NOTA],MATCH(KENKO[[#This Row],[ID NOTA]],[6]!NOTA[ID],0)))</f>
        <v/>
      </c>
      <c r="I30" s="2" t="str">
        <f>IF(KENKO[[#This Row],[ID NOTA]]="","",INDEX([6]!NOTA[NO.NOTA],MATCH(KENKO[[#This Row],[ID NOTA]],[6]!NOTA[ID],0)))</f>
        <v/>
      </c>
      <c r="J30" t="s">
        <v>136</v>
      </c>
      <c r="K30" s="1" t="str">
        <f>""</f>
        <v/>
      </c>
      <c r="L30" s="1" t="str">
        <f ca="1">IF(KENKO[//]="","",IF(INDEX([6]!NOTA[QTY],KENKO[//]-2)="",INDEX([6]!NOTA[C],KENKO[//]-2),INDEX([6]!NOTA[QTY],KENKO[//]-2)))</f>
        <v/>
      </c>
      <c r="M30" s="1" t="str">
        <f ca="1">IF(KENKO[//]="","",IF(INDEX([6]!NOTA[STN],KENKO[//]-2)="","CTN",INDEX([6]!NOTA[STN],KENKO[//]-2)))</f>
        <v/>
      </c>
      <c r="N30" s="5" t="str">
        <f ca="1">IF(KENKO[[#This Row],[//]]="","",IF(INDEX([6]!NOTA[HARGA/ CTN],KENKO[[#This Row],[//]]-2)="",INDEX([6]!NOTA[HARGA SATUAN],KENKO[//]-2),INDEX([6]!NOTA[HARGA/ CTN],KENKO[[#This Row],[//]]-2)))</f>
        <v/>
      </c>
      <c r="O30" s="8" t="str">
        <f ca="1">IF(KENKO[[#This Row],[//]]="","",INDEX([6]!NOTA[DISC 1],KENKO[[#This Row],[//]]-2))</f>
        <v/>
      </c>
      <c r="P30" s="8" t="str">
        <f ca="1">IF(KENKO[[#This Row],[//]]="","",INDEX([6]!NOTA[DISC 2],KENKO[[#This Row],[//]]-2))</f>
        <v/>
      </c>
      <c r="Q30" s="5" t="str">
        <f ca="1">IF(KENKO[[#This Row],[//]]="","",INDEX([6]!NOTA[JUMLAH],KENKO[[#This Row],[//]]-2)*(100%-IF(ISNUMBER(KENKO[[#This Row],[DISC 1 (%)]]),KENKO[[#This Row],[DISC 1 (%)]],0)))</f>
        <v/>
      </c>
      <c r="R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t="str">
        <f ca="1">IF(KENKO[[#This Row],[//]]="","",INDEX([6]!NOTA[NAMA BARANG],KENKO[[#This Row],[//]]-2))</f>
        <v/>
      </c>
      <c r="V30" t="str">
        <f ca="1">LOWER(SUBSTITUTE(SUBSTITUTE(SUBSTITUTE(SUBSTITUTE(SUBSTITUTE(SUBSTITUTE(SUBSTITUTE(SUBSTITUTE(KENKO[[#This Row],[N.B.nota]]," ",""),"-",""),"(",""),")",""),".",""),",",""),"/",""),"""",""))</f>
        <v/>
      </c>
      <c r="W30" t="s">
        <v>136</v>
      </c>
      <c r="X30" t="str">
        <f ca="1">IF(KENKO[[#This Row],[N.B.nota]]="","",ADDRESS(ROW(KENKO[QB]),COLUMN(KENKO[QB]))&amp;":"&amp;ADDRESS(ROW(),COLUMN(KENKO[QB])))</f>
        <v/>
      </c>
      <c r="Y30" s="14" t="str">
        <f ca="1">IF(KENKO[[#This Row],[//]]="","",HYPERLINK("[..\\DB.xlsx]DB!e"&amp;MATCH(KENKO[[#This Row],[concat]],[4]!db[NB NOTA_C],0)+1,"&gt;"))</f>
        <v/>
      </c>
    </row>
    <row r="31" spans="1:25" x14ac:dyDescent="0.25">
      <c r="A31" s="4" t="s">
        <v>24</v>
      </c>
      <c r="B31" s="1">
        <f ca="1">IF(KENKO[[#This Row],[N_ID]]="","",INDEX(Table1[ID],MATCH(KENKO[[#This Row],[N_ID]],Table1[N_ID],0)))</f>
        <v>43</v>
      </c>
      <c r="C31" s="1" t="str">
        <f ca="1">IF(KENKO[[#This Row],[ID NOTA]]="","",HYPERLINK("[NOTA_.xlsx]NOTA!e"&amp;INDEX([6]!PAJAK[//],MATCH(KENKO[[#This Row],[ID NOTA]],[6]!PAJAK[ID],0)),"&gt;") )</f>
        <v>&gt;</v>
      </c>
      <c r="D31" s="1">
        <f ca="1">IF(KENKO[[#This Row],[ID NOTA]]="","",INDEX(Table1[QB],MATCH(KENKO[[#This Row],[ID NOTA]],Table1[ID],0)))</f>
        <v>9</v>
      </c>
      <c r="E3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205</v>
      </c>
      <c r="F31" s="1" t="e">
        <f ca="1">IF(KENKO[[#This Row],[NO. NOTA]]="","",INDEX([5]KE!$A:$A,MATCH(KENKO[[#This Row],[NO. NOTA]],[5]KE!$D:$D,0)))</f>
        <v>#N/A</v>
      </c>
      <c r="G31" s="3">
        <f ca="1">IF(KENKO[[#This Row],[ID NOTA]]="","",INDEX([6]!NOTA[TGL_H],MATCH(KENKO[[#This Row],[ID NOTA]],[6]!NOTA[ID],0)))</f>
        <v>44750</v>
      </c>
      <c r="H31" s="3">
        <f ca="1">IF(KENKO[[#This Row],[ID NOTA]]="","",INDEX([6]!NOTA[TGL.NOTA],MATCH(KENKO[[#This Row],[ID NOTA]],[6]!NOTA[ID],0)))</f>
        <v>44748</v>
      </c>
      <c r="I31" s="2">
        <f ca="1">IF(KENKO[[#This Row],[ID NOTA]]="","",INDEX([6]!NOTA[NO.NOTA],MATCH(KENKO[[#This Row],[ID NOTA]],[6]!NOTA[ID],0)))</f>
        <v>22070460</v>
      </c>
      <c r="J31" t="s">
        <v>178</v>
      </c>
      <c r="K31" s="1" t="str">
        <f>""</f>
        <v/>
      </c>
      <c r="L31" s="1">
        <f ca="1">IF(KENKO[//]="","",IF(INDEX([6]!NOTA[QTY],KENKO[//]-2)="",INDEX([6]!NOTA[C],KENKO[//]-2),INDEX([6]!NOTA[QTY],KENKO[//]-2)))</f>
        <v>1</v>
      </c>
      <c r="M31" s="1" t="str">
        <f ca="1">IF(KENKO[//]="","",IF(INDEX([6]!NOTA[STN],KENKO[//]-2)="","CTN",INDEX([6]!NOTA[STN],KENKO[//]-2)))</f>
        <v>CTN</v>
      </c>
      <c r="N31" s="5">
        <f ca="1">IF(KENKO[[#This Row],[//]]="","",IF(INDEX([6]!NOTA[HARGA/ CTN],KENKO[[#This Row],[//]]-2)="",INDEX([6]!NOTA[HARGA SATUAN],KENKO[//]-2),INDEX([6]!NOTA[HARGA/ CTN],KENKO[[#This Row],[//]]-2)))</f>
        <v>1069200</v>
      </c>
      <c r="O31" s="8">
        <f ca="1">IF(KENKO[[#This Row],[//]]="","",INDEX([6]!NOTA[DISC 1],KENKO[[#This Row],[//]]-2))</f>
        <v>0.17</v>
      </c>
      <c r="P31" s="8">
        <f ca="1">IF(KENKO[[#This Row],[//]]="","",INDEX([6]!NOTA[DISC 2],KENKO[[#This Row],[//]]-2))</f>
        <v>0</v>
      </c>
      <c r="Q31" s="5">
        <f ca="1">IF(KENKO[[#This Row],[//]]="","",INDEX([6]!NOTA[JUMLAH],KENKO[[#This Row],[//]]-2)*(100%-IF(ISNUMBER(KENKO[[#This Row],[DISC 1 (%)]]),KENKO[[#This Row],[DISC 1 (%)]],0)))</f>
        <v>887436</v>
      </c>
      <c r="R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t="str">
        <f ca="1">IF(KENKO[[#This Row],[//]]="","",INDEX([6]!NOTA[NAMA BARANG],KENKO[[#This Row],[//]]-2))</f>
        <v>KENKO STAMP PAD NO.0</v>
      </c>
      <c r="V31" t="str">
        <f ca="1">LOWER(SUBSTITUTE(SUBSTITUTE(SUBSTITUTE(SUBSTITUTE(SUBSTITUTE(SUBSTITUTE(SUBSTITUTE(SUBSTITUTE(KENKO[[#This Row],[N.B.nota]]," ",""),"-",""),"(",""),")",""),".",""),",",""),"/",""),"""",""))</f>
        <v>kenkostamppadno0</v>
      </c>
      <c r="W31" t="s">
        <v>137</v>
      </c>
      <c r="X31" t="str">
        <f ca="1">IF(KENKO[[#This Row],[N.B.nota]]="","",ADDRESS(ROW(KENKO[QB]),COLUMN(KENKO[QB]))&amp;":"&amp;ADDRESS(ROW(),COLUMN(KENKO[QB])))</f>
        <v>$D$3:$D$31</v>
      </c>
      <c r="Y31" s="14" t="str">
        <f ca="1">IF(KENKO[[#This Row],[//]]="","",HYPERLINK("[..\\DB.xlsx]DB!e"&amp;MATCH(KENKO[[#This Row],[concat]],[4]!db[NB NOTA_C],0)+1,"&gt;"))</f>
        <v>&gt;</v>
      </c>
    </row>
    <row r="32" spans="1:25" x14ac:dyDescent="0.25">
      <c r="A32" s="4"/>
      <c r="B32" s="1" t="str">
        <f>IF(KENKO[[#This Row],[N_ID]]="","",INDEX(Table1[ID],MATCH(KENKO[[#This Row],[N_ID]],Table1[N_ID],0)))</f>
        <v/>
      </c>
      <c r="C32" s="1" t="str">
        <f>IF(KENKO[[#This Row],[ID NOTA]]="","",HYPERLINK("[NOTA_.xlsx]NOTA!e"&amp;INDEX([6]!PAJAK[//],MATCH(KENKO[[#This Row],[ID NOTA]],[6]!PAJAK[ID],0)),"&gt;") )</f>
        <v/>
      </c>
      <c r="D32" s="1" t="str">
        <f>IF(KENKO[[#This Row],[ID NOTA]]="","",INDEX(Table1[QB],MATCH(KENKO[[#This Row],[ID NOTA]],Table1[ID],0)))</f>
        <v/>
      </c>
      <c r="E32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206</v>
      </c>
      <c r="F32" s="1" t="str">
        <f>IF(KENKO[[#This Row],[NO. NOTA]]="","",INDEX([5]KE!$A:$A,MATCH(KENKO[[#This Row],[NO. NOTA]],[5]KE!$D:$D,0)))</f>
        <v/>
      </c>
      <c r="G32" s="3" t="str">
        <f>IF(KENKO[[#This Row],[ID NOTA]]="","",INDEX([6]!NOTA[TGL_H],MATCH(KENKO[[#This Row],[ID NOTA]],[6]!NOTA[ID],0)))</f>
        <v/>
      </c>
      <c r="H32" s="3" t="str">
        <f>IF(KENKO[[#This Row],[ID NOTA]]="","",INDEX([6]!NOTA[TGL.NOTA],MATCH(KENKO[[#This Row],[ID NOTA]],[6]!NOTA[ID],0)))</f>
        <v/>
      </c>
      <c r="I32" s="2" t="str">
        <f>IF(KENKO[[#This Row],[ID NOTA]]="","",INDEX([6]!NOTA[NO.NOTA],MATCH(KENKO[[#This Row],[ID NOTA]],[6]!NOTA[ID],0)))</f>
        <v/>
      </c>
      <c r="J32" t="s">
        <v>179</v>
      </c>
      <c r="K32" s="1" t="str">
        <f>""</f>
        <v/>
      </c>
      <c r="L32" s="1">
        <f ca="1">IF(KENKO[//]="","",IF(INDEX([6]!NOTA[QTY],KENKO[//]-2)="",INDEX([6]!NOTA[C],KENKO[//]-2),INDEX([6]!NOTA[QTY],KENKO[//]-2)))</f>
        <v>1</v>
      </c>
      <c r="M32" s="1" t="str">
        <f ca="1">IF(KENKO[//]="","",IF(INDEX([6]!NOTA[STN],KENKO[//]-2)="","CTN",INDEX([6]!NOTA[STN],KENKO[//]-2)))</f>
        <v>CTN</v>
      </c>
      <c r="N32" s="5">
        <f ca="1">IF(KENKO[[#This Row],[//]]="","",IF(INDEX([6]!NOTA[HARGA/ CTN],KENKO[[#This Row],[//]]-2)="",INDEX([6]!NOTA[HARGA SATUAN],KENKO[//]-2),INDEX([6]!NOTA[HARGA/ CTN],KENKO[[#This Row],[//]]-2)))</f>
        <v>2160000</v>
      </c>
      <c r="O32" s="8">
        <f ca="1">IF(KENKO[[#This Row],[//]]="","",INDEX([6]!NOTA[DISC 1],KENKO[[#This Row],[//]]-2))</f>
        <v>0.17</v>
      </c>
      <c r="P32" s="8">
        <f ca="1">IF(KENKO[[#This Row],[//]]="","",INDEX([6]!NOTA[DISC 2],KENKO[[#This Row],[//]]-2))</f>
        <v>0</v>
      </c>
      <c r="Q32" s="5">
        <f ca="1">IF(KENKO[[#This Row],[//]]="","",INDEX([6]!NOTA[JUMLAH],KENKO[[#This Row],[//]]-2)*(100%-IF(ISNUMBER(KENKO[[#This Row],[DISC 1 (%)]]),KENKO[[#This Row],[DISC 1 (%)]],0)))</f>
        <v>1792800</v>
      </c>
      <c r="R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t="str">
        <f ca="1">IF(KENKO[[#This Row],[//]]="","",INDEX([6]!NOTA[NAMA BARANG],KENKO[[#This Row],[//]]-2))</f>
        <v>KENKO PERMANENT MARKER PM-100 BLACK</v>
      </c>
      <c r="V32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32" t="s">
        <v>137</v>
      </c>
      <c r="X32" t="str">
        <f ca="1">IF(KENKO[[#This Row],[N.B.nota]]="","",ADDRESS(ROW(KENKO[QB]),COLUMN(KENKO[QB]))&amp;":"&amp;ADDRESS(ROW(),COLUMN(KENKO[QB])))</f>
        <v>$D$3:$D$32</v>
      </c>
      <c r="Y32" s="14" t="str">
        <f ca="1">IF(KENKO[[#This Row],[//]]="","",HYPERLINK("[..\\DB.xlsx]DB!e"&amp;MATCH(KENKO[[#This Row],[concat]],[4]!db[NB NOTA_C],0)+1,"&gt;"))</f>
        <v>&gt;</v>
      </c>
    </row>
    <row r="33" spans="1:25" x14ac:dyDescent="0.25">
      <c r="A33" s="4"/>
      <c r="B33" s="1" t="str">
        <f>IF(KENKO[[#This Row],[N_ID]]="","",INDEX(Table1[ID],MATCH(KENKO[[#This Row],[N_ID]],Table1[N_ID],0)))</f>
        <v/>
      </c>
      <c r="C33" s="1" t="str">
        <f>IF(KENKO[[#This Row],[ID NOTA]]="","",HYPERLINK("[NOTA_.xlsx]NOTA!e"&amp;INDEX([6]!PAJAK[//],MATCH(KENKO[[#This Row],[ID NOTA]],[6]!PAJAK[ID],0)),"&gt;") )</f>
        <v/>
      </c>
      <c r="D33" s="1" t="str">
        <f>IF(KENKO[[#This Row],[ID NOTA]]="","",INDEX(Table1[QB],MATCH(KENKO[[#This Row],[ID NOTA]],Table1[ID],0)))</f>
        <v/>
      </c>
      <c r="E3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207</v>
      </c>
      <c r="F33" s="1" t="str">
        <f>IF(KENKO[[#This Row],[NO. NOTA]]="","",INDEX([5]KE!$A:$A,MATCH(KENKO[[#This Row],[NO. NOTA]],[5]KE!$D:$D,0)))</f>
        <v/>
      </c>
      <c r="G33" s="3" t="str">
        <f>IF(KENKO[[#This Row],[ID NOTA]]="","",INDEX([6]!NOTA[TGL_H],MATCH(KENKO[[#This Row],[ID NOTA]],[6]!NOTA[ID],0)))</f>
        <v/>
      </c>
      <c r="H33" s="3" t="str">
        <f>IF(KENKO[[#This Row],[ID NOTA]]="","",INDEX([6]!NOTA[TGL.NOTA],MATCH(KENKO[[#This Row],[ID NOTA]],[6]!NOTA[ID],0)))</f>
        <v/>
      </c>
      <c r="I33" s="2" t="str">
        <f>IF(KENKO[[#This Row],[ID NOTA]]="","",INDEX([6]!NOTA[NO.NOTA],MATCH(KENKO[[#This Row],[ID NOTA]],[6]!NOTA[ID],0)))</f>
        <v/>
      </c>
      <c r="J33" t="s">
        <v>180</v>
      </c>
      <c r="K33" s="1" t="str">
        <f>""</f>
        <v/>
      </c>
      <c r="L33" s="1">
        <f ca="1">IF(KENKO[//]="","",IF(INDEX([6]!NOTA[QTY],KENKO[//]-2)="",INDEX([6]!NOTA[C],KENKO[//]-2),INDEX([6]!NOTA[QTY],KENKO[//]-2)))</f>
        <v>4</v>
      </c>
      <c r="M33" s="1" t="str">
        <f ca="1">IF(KENKO[//]="","",IF(INDEX([6]!NOTA[STN],KENKO[//]-2)="","CTN",INDEX([6]!NOTA[STN],KENKO[//]-2)))</f>
        <v>CTN</v>
      </c>
      <c r="N33" s="5">
        <f ca="1">IF(KENKO[[#This Row],[//]]="","",IF(INDEX([6]!NOTA[HARGA/ CTN],KENKO[[#This Row],[//]]-2)="",INDEX([6]!NOTA[HARGA SATUAN],KENKO[//]-2),INDEX([6]!NOTA[HARGA/ CTN],KENKO[[#This Row],[//]]-2)))</f>
        <v>1740000</v>
      </c>
      <c r="O33" s="8">
        <f ca="1">IF(KENKO[[#This Row],[//]]="","",INDEX([6]!NOTA[DISC 1],KENKO[[#This Row],[//]]-2))</f>
        <v>0.17</v>
      </c>
      <c r="P33" s="8">
        <f ca="1">IF(KENKO[[#This Row],[//]]="","",INDEX([6]!NOTA[DISC 2],KENKO[[#This Row],[//]]-2))</f>
        <v>0</v>
      </c>
      <c r="Q33" s="5">
        <f ca="1">IF(KENKO[[#This Row],[//]]="","",INDEX([6]!NOTA[JUMLAH],KENKO[[#This Row],[//]]-2)*(100%-IF(ISNUMBER(KENKO[[#This Row],[DISC 1 (%)]]),KENKO[[#This Row],[DISC 1 (%)]],0)))</f>
        <v>5776800</v>
      </c>
      <c r="R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t="str">
        <f ca="1">IF(KENKO[[#This Row],[//]]="","",INDEX([6]!NOTA[NAMA BARANG],KENKO[[#This Row],[//]]-2))</f>
        <v>KENKO STAPLER HD-10</v>
      </c>
      <c r="V33" t="str">
        <f ca="1">LOWER(SUBSTITUTE(SUBSTITUTE(SUBSTITUTE(SUBSTITUTE(SUBSTITUTE(SUBSTITUTE(SUBSTITUTE(SUBSTITUTE(KENKO[[#This Row],[N.B.nota]]," ",""),"-",""),"(",""),")",""),".",""),",",""),"/",""),"""",""))</f>
        <v>kenkostaplerhd10</v>
      </c>
      <c r="W33" t="s">
        <v>137</v>
      </c>
      <c r="X33" t="str">
        <f ca="1">IF(KENKO[[#This Row],[N.B.nota]]="","",ADDRESS(ROW(KENKO[QB]),COLUMN(KENKO[QB]))&amp;":"&amp;ADDRESS(ROW(),COLUMN(KENKO[QB])))</f>
        <v>$D$3:$D$33</v>
      </c>
      <c r="Y33" s="14" t="str">
        <f ca="1">IF(KENKO[[#This Row],[//]]="","",HYPERLINK("[..\\DB.xlsx]DB!e"&amp;MATCH(KENKO[[#This Row],[concat]],[4]!db[NB NOTA_C],0)+1,"&gt;"))</f>
        <v>&gt;</v>
      </c>
    </row>
    <row r="34" spans="1:25" x14ac:dyDescent="0.25">
      <c r="A34" s="4"/>
      <c r="B34" s="1" t="str">
        <f>IF(KENKO[[#This Row],[N_ID]]="","",INDEX(Table1[ID],MATCH(KENKO[[#This Row],[N_ID]],Table1[N_ID],0)))</f>
        <v/>
      </c>
      <c r="C34" s="1" t="str">
        <f>IF(KENKO[[#This Row],[ID NOTA]]="","",HYPERLINK("[NOTA_.xlsx]NOTA!e"&amp;INDEX([6]!PAJAK[//],MATCH(KENKO[[#This Row],[ID NOTA]],[6]!PAJAK[ID],0)),"&gt;") )</f>
        <v/>
      </c>
      <c r="D34" s="1" t="str">
        <f>IF(KENKO[[#This Row],[ID NOTA]]="","",INDEX(Table1[QB],MATCH(KENKO[[#This Row],[ID NOTA]],Table1[ID],0)))</f>
        <v/>
      </c>
      <c r="E3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208</v>
      </c>
      <c r="F34" s="1" t="str">
        <f>IF(KENKO[[#This Row],[NO. NOTA]]="","",INDEX([5]KE!$A:$A,MATCH(KENKO[[#This Row],[NO. NOTA]],[5]KE!$D:$D,0)))</f>
        <v/>
      </c>
      <c r="G34" s="3" t="str">
        <f>IF(KENKO[[#This Row],[ID NOTA]]="","",INDEX([6]!NOTA[TGL_H],MATCH(KENKO[[#This Row],[ID NOTA]],[6]!NOTA[ID],0)))</f>
        <v/>
      </c>
      <c r="H34" s="3" t="str">
        <f>IF(KENKO[[#This Row],[ID NOTA]]="","",INDEX([6]!NOTA[TGL.NOTA],MATCH(KENKO[[#This Row],[ID NOTA]],[6]!NOTA[ID],0)))</f>
        <v/>
      </c>
      <c r="I34" s="2" t="str">
        <f>IF(KENKO[[#This Row],[ID NOTA]]="","",INDEX([6]!NOTA[NO.NOTA],MATCH(KENKO[[#This Row],[ID NOTA]],[6]!NOTA[ID],0)))</f>
        <v/>
      </c>
      <c r="J34" t="s">
        <v>169</v>
      </c>
      <c r="K34" s="1" t="str">
        <f>""</f>
        <v/>
      </c>
      <c r="L34" s="1">
        <f ca="1">IF(KENKO[//]="","",IF(INDEX([6]!NOTA[QTY],KENKO[//]-2)="",INDEX([6]!NOTA[C],KENKO[//]-2),INDEX([6]!NOTA[QTY],KENKO[//]-2)))</f>
        <v>1</v>
      </c>
      <c r="M34" s="1" t="str">
        <f ca="1">IF(KENKO[//]="","",IF(INDEX([6]!NOTA[STN],KENKO[//]-2)="","CTN",INDEX([6]!NOTA[STN],KENKO[//]-2)))</f>
        <v>CTN</v>
      </c>
      <c r="N34" s="5">
        <f ca="1">IF(KENKO[[#This Row],[//]]="","",IF(INDEX([6]!NOTA[HARGA/ CTN],KENKO[[#This Row],[//]]-2)="",INDEX([6]!NOTA[HARGA SATUAN],KENKO[//]-2),INDEX([6]!NOTA[HARGA/ CTN],KENKO[[#This Row],[//]]-2)))</f>
        <v>3369600</v>
      </c>
      <c r="O34" s="8">
        <f ca="1">IF(KENKO[[#This Row],[//]]="","",INDEX([6]!NOTA[DISC 1],KENKO[[#This Row],[//]]-2))</f>
        <v>0.17</v>
      </c>
      <c r="P34" s="8">
        <f ca="1">IF(KENKO[[#This Row],[//]]="","",INDEX([6]!NOTA[DISC 2],KENKO[[#This Row],[//]]-2))</f>
        <v>0</v>
      </c>
      <c r="Q34" s="5">
        <f ca="1">IF(KENKO[[#This Row],[//]]="","",INDEX([6]!NOTA[JUMLAH],KENKO[[#This Row],[//]]-2)*(100%-IF(ISNUMBER(KENKO[[#This Row],[DISC 1 (%)]]),KENKO[[#This Row],[DISC 1 (%)]],0)))</f>
        <v>2796768</v>
      </c>
      <c r="R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t="str">
        <f ca="1">IF(KENKO[[#This Row],[//]]="","",INDEX([6]!NOTA[NAMA BARANG],KENKO[[#This Row],[//]]-2))</f>
        <v>KENKO GEL PEN KE-200 BLACK</v>
      </c>
      <c r="V34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34" t="s">
        <v>137</v>
      </c>
      <c r="X34" t="str">
        <f ca="1">IF(KENKO[[#This Row],[N.B.nota]]="","",ADDRESS(ROW(KENKO[QB]),COLUMN(KENKO[QB]))&amp;":"&amp;ADDRESS(ROW(),COLUMN(KENKO[QB])))</f>
        <v>$D$3:$D$34</v>
      </c>
      <c r="Y34" s="14" t="str">
        <f ca="1">IF(KENKO[[#This Row],[//]]="","",HYPERLINK("[..\\DB.xlsx]DB!e"&amp;MATCH(KENKO[[#This Row],[concat]],[4]!db[NB NOTA_C],0)+1,"&gt;"))</f>
        <v>&gt;</v>
      </c>
    </row>
    <row r="35" spans="1:25" x14ac:dyDescent="0.25">
      <c r="A35" s="4"/>
      <c r="B35" s="1" t="str">
        <f>IF(KENKO[[#This Row],[N_ID]]="","",INDEX(Table1[ID],MATCH(KENKO[[#This Row],[N_ID]],Table1[N_ID],0)))</f>
        <v/>
      </c>
      <c r="C35" s="1" t="str">
        <f>IF(KENKO[[#This Row],[ID NOTA]]="","",HYPERLINK("[NOTA_.xlsx]NOTA!e"&amp;INDEX([6]!PAJAK[//],MATCH(KENKO[[#This Row],[ID NOTA]],[6]!PAJAK[ID],0)),"&gt;") )</f>
        <v/>
      </c>
      <c r="D35" s="1" t="str">
        <f>IF(KENKO[[#This Row],[ID NOTA]]="","",INDEX(Table1[QB],MATCH(KENKO[[#This Row],[ID NOTA]],Table1[ID],0)))</f>
        <v/>
      </c>
      <c r="E3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209</v>
      </c>
      <c r="F35" s="1" t="str">
        <f>IF(KENKO[[#This Row],[NO. NOTA]]="","",INDEX([5]KE!$A:$A,MATCH(KENKO[[#This Row],[NO. NOTA]],[5]KE!$D:$D,0)))</f>
        <v/>
      </c>
      <c r="G35" s="3" t="str">
        <f>IF(KENKO[[#This Row],[ID NOTA]]="","",INDEX([6]!NOTA[TGL_H],MATCH(KENKO[[#This Row],[ID NOTA]],[6]!NOTA[ID],0)))</f>
        <v/>
      </c>
      <c r="H35" s="3" t="str">
        <f>IF(KENKO[[#This Row],[ID NOTA]]="","",INDEX([6]!NOTA[TGL.NOTA],MATCH(KENKO[[#This Row],[ID NOTA]],[6]!NOTA[ID],0)))</f>
        <v/>
      </c>
      <c r="I35" s="2" t="str">
        <f>IF(KENKO[[#This Row],[ID NOTA]]="","",INDEX([6]!NOTA[NO.NOTA],MATCH(KENKO[[#This Row],[ID NOTA]],[6]!NOTA[ID],0)))</f>
        <v/>
      </c>
      <c r="J35" t="s">
        <v>181</v>
      </c>
      <c r="K35" s="1" t="str">
        <f>""</f>
        <v/>
      </c>
      <c r="L35" s="1">
        <f ca="1">IF(KENKO[//]="","",IF(INDEX([6]!NOTA[QTY],KENKO[//]-2)="",INDEX([6]!NOTA[C],KENKO[//]-2),INDEX([6]!NOTA[QTY],KENKO[//]-2)))</f>
        <v>1</v>
      </c>
      <c r="M35" s="1" t="str">
        <f ca="1">IF(KENKO[//]="","",IF(INDEX([6]!NOTA[STN],KENKO[//]-2)="","CTN",INDEX([6]!NOTA[STN],KENKO[//]-2)))</f>
        <v>CTN</v>
      </c>
      <c r="N35" s="5">
        <f ca="1">IF(KENKO[[#This Row],[//]]="","",IF(INDEX([6]!NOTA[HARGA/ CTN],KENKO[[#This Row],[//]]-2)="",INDEX([6]!NOTA[HARGA SATUAN],KENKO[//]-2),INDEX([6]!NOTA[HARGA/ CTN],KENKO[[#This Row],[//]]-2)))</f>
        <v>2520000</v>
      </c>
      <c r="O35" s="8">
        <f ca="1">IF(KENKO[[#This Row],[//]]="","",INDEX([6]!NOTA[DISC 1],KENKO[[#This Row],[//]]-2))</f>
        <v>0.17</v>
      </c>
      <c r="P35" s="8">
        <f ca="1">IF(KENKO[[#This Row],[//]]="","",INDEX([6]!NOTA[DISC 2],KENKO[[#This Row],[//]]-2))</f>
        <v>0</v>
      </c>
      <c r="Q35" s="5">
        <f ca="1">IF(KENKO[[#This Row],[//]]="","",INDEX([6]!NOTA[JUMLAH],KENKO[[#This Row],[//]]-2)*(100%-IF(ISNUMBER(KENKO[[#This Row],[DISC 1 (%)]]),KENKO[[#This Row],[DISC 1 (%)]],0)))</f>
        <v>2091600</v>
      </c>
      <c r="R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t="str">
        <f ca="1">IF(KENKO[[#This Row],[//]]="","",INDEX([6]!NOTA[NAMA BARANG],KENKO[[#This Row],[//]]-2))</f>
        <v>KENKO TABLE SHARPENER A-5</v>
      </c>
      <c r="V35" t="str">
        <f ca="1">LOWER(SUBSTITUTE(SUBSTITUTE(SUBSTITUTE(SUBSTITUTE(SUBSTITUTE(SUBSTITUTE(SUBSTITUTE(SUBSTITUTE(KENKO[[#This Row],[N.B.nota]]," ",""),"-",""),"(",""),")",""),".",""),",",""),"/",""),"""",""))</f>
        <v>kenkotablesharpenera5</v>
      </c>
      <c r="W35" t="s">
        <v>137</v>
      </c>
      <c r="X35" t="str">
        <f ca="1">IF(KENKO[[#This Row],[N.B.nota]]="","",ADDRESS(ROW(KENKO[QB]),COLUMN(KENKO[QB]))&amp;":"&amp;ADDRESS(ROW(),COLUMN(KENKO[QB])))</f>
        <v>$D$3:$D$35</v>
      </c>
      <c r="Y35" s="14" t="str">
        <f ca="1">IF(KENKO[[#This Row],[//]]="","",HYPERLINK("[..\\DB.xlsx]DB!e"&amp;MATCH(KENKO[[#This Row],[concat]],[4]!db[NB NOTA_C],0)+1,"&gt;"))</f>
        <v>&gt;</v>
      </c>
    </row>
    <row r="36" spans="1:25" x14ac:dyDescent="0.25">
      <c r="A36" s="4"/>
      <c r="B36" s="1" t="str">
        <f>IF(KENKO[[#This Row],[N_ID]]="","",INDEX(Table1[ID],MATCH(KENKO[[#This Row],[N_ID]],Table1[N_ID],0)))</f>
        <v/>
      </c>
      <c r="C36" s="1" t="str">
        <f>IF(KENKO[[#This Row],[ID NOTA]]="","",HYPERLINK("[NOTA_.xlsx]NOTA!e"&amp;INDEX([6]!PAJAK[//],MATCH(KENKO[[#This Row],[ID NOTA]],[6]!PAJAK[ID],0)),"&gt;") )</f>
        <v/>
      </c>
      <c r="D36" s="1" t="str">
        <f>IF(KENKO[[#This Row],[ID NOTA]]="","",INDEX(Table1[QB],MATCH(KENKO[[#This Row],[ID NOTA]],Table1[ID],0)))</f>
        <v/>
      </c>
      <c r="E3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210</v>
      </c>
      <c r="F36" s="1" t="str">
        <f>IF(KENKO[[#This Row],[NO. NOTA]]="","",INDEX([5]KE!$A:$A,MATCH(KENKO[[#This Row],[NO. NOTA]],[5]KE!$D:$D,0)))</f>
        <v/>
      </c>
      <c r="G36" s="3" t="str">
        <f>IF(KENKO[[#This Row],[ID NOTA]]="","",INDEX([6]!NOTA[TGL_H],MATCH(KENKO[[#This Row],[ID NOTA]],[6]!NOTA[ID],0)))</f>
        <v/>
      </c>
      <c r="H36" s="3" t="str">
        <f>IF(KENKO[[#This Row],[ID NOTA]]="","",INDEX([6]!NOTA[TGL.NOTA],MATCH(KENKO[[#This Row],[ID NOTA]],[6]!NOTA[ID],0)))</f>
        <v/>
      </c>
      <c r="I36" s="2" t="str">
        <f>IF(KENKO[[#This Row],[ID NOTA]]="","",INDEX([6]!NOTA[NO.NOTA],MATCH(KENKO[[#This Row],[ID NOTA]],[6]!NOTA[ID],0)))</f>
        <v/>
      </c>
      <c r="J36" t="s">
        <v>182</v>
      </c>
      <c r="K36" s="1" t="str">
        <f>""</f>
        <v/>
      </c>
      <c r="L36" s="1">
        <f ca="1">IF(KENKO[//]="","",IF(INDEX([6]!NOTA[QTY],KENKO[//]-2)="",INDEX([6]!NOTA[C],KENKO[//]-2),INDEX([6]!NOTA[QTY],KENKO[//]-2)))</f>
        <v>1</v>
      </c>
      <c r="M36" s="1" t="str">
        <f ca="1">IF(KENKO[//]="","",IF(INDEX([6]!NOTA[STN],KENKO[//]-2)="","CTN",INDEX([6]!NOTA[STN],KENKO[//]-2)))</f>
        <v>CTN</v>
      </c>
      <c r="N36" s="5">
        <f ca="1">IF(KENKO[[#This Row],[//]]="","",IF(INDEX([6]!NOTA[HARGA/ CTN],KENKO[[#This Row],[//]]-2)="",INDEX([6]!NOTA[HARGA SATUAN],KENKO[//]-2),INDEX([6]!NOTA[HARGA/ CTN],KENKO[[#This Row],[//]]-2)))</f>
        <v>708000</v>
      </c>
      <c r="O36" s="8">
        <f ca="1">IF(KENKO[[#This Row],[//]]="","",INDEX([6]!NOTA[DISC 1],KENKO[[#This Row],[//]]-2))</f>
        <v>0.17</v>
      </c>
      <c r="P36" s="8">
        <f ca="1">IF(KENKO[[#This Row],[//]]="","",INDEX([6]!NOTA[DISC 2],KENKO[[#This Row],[//]]-2))</f>
        <v>0</v>
      </c>
      <c r="Q36" s="5">
        <f ca="1">IF(KENKO[[#This Row],[//]]="","",INDEX([6]!NOTA[JUMLAH],KENKO[[#This Row],[//]]-2)*(100%-IF(ISNUMBER(KENKO[[#This Row],[DISC 1 (%)]]),KENKO[[#This Row],[DISC 1 (%)]],0)))</f>
        <v>587640</v>
      </c>
      <c r="R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t="str">
        <f ca="1">IF(KENKO[[#This Row],[//]]="","",INDEX([6]!NOTA[NAMA BARANG],KENKO[[#This Row],[//]]-2))</f>
        <v>KENKO BUKU TAMU BT-2920-BTK02 (BATIK)</v>
      </c>
      <c r="V36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36" t="s">
        <v>137</v>
      </c>
      <c r="X36" t="str">
        <f ca="1">IF(KENKO[[#This Row],[N.B.nota]]="","",ADDRESS(ROW(KENKO[QB]),COLUMN(KENKO[QB]))&amp;":"&amp;ADDRESS(ROW(),COLUMN(KENKO[QB])))</f>
        <v>$D$3:$D$36</v>
      </c>
      <c r="Y36" s="14" t="str">
        <f ca="1">IF(KENKO[[#This Row],[//]]="","",HYPERLINK("[..\\DB.xlsx]DB!e"&amp;MATCH(KENKO[[#This Row],[concat]],[4]!db[NB NOTA_C],0)+1,"&gt;"))</f>
        <v>&gt;</v>
      </c>
    </row>
    <row r="37" spans="1:25" x14ac:dyDescent="0.25">
      <c r="A37" s="4"/>
      <c r="B37" s="1" t="str">
        <f>IF(KENKO[[#This Row],[N_ID]]="","",INDEX(Table1[ID],MATCH(KENKO[[#This Row],[N_ID]],Table1[N_ID],0)))</f>
        <v/>
      </c>
      <c r="C37" s="1" t="str">
        <f>IF(KENKO[[#This Row],[ID NOTA]]="","",HYPERLINK("[NOTA_.xlsx]NOTA!e"&amp;INDEX([6]!PAJAK[//],MATCH(KENKO[[#This Row],[ID NOTA]],[6]!PAJAK[ID],0)),"&gt;") )</f>
        <v/>
      </c>
      <c r="D37" s="1" t="str">
        <f>IF(KENKO[[#This Row],[ID NOTA]]="","",INDEX(Table1[QB],MATCH(KENKO[[#This Row],[ID NOTA]],Table1[ID],0)))</f>
        <v/>
      </c>
      <c r="E3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211</v>
      </c>
      <c r="F37" s="1" t="str">
        <f>IF(KENKO[[#This Row],[NO. NOTA]]="","",INDEX([5]KE!$A:$A,MATCH(KENKO[[#This Row],[NO. NOTA]],[5]KE!$D:$D,0)))</f>
        <v/>
      </c>
      <c r="G37" s="3" t="str">
        <f>IF(KENKO[[#This Row],[ID NOTA]]="","",INDEX([6]!NOTA[TGL_H],MATCH(KENKO[[#This Row],[ID NOTA]],[6]!NOTA[ID],0)))</f>
        <v/>
      </c>
      <c r="H37" s="3" t="str">
        <f>IF(KENKO[[#This Row],[ID NOTA]]="","",INDEX([6]!NOTA[TGL.NOTA],MATCH(KENKO[[#This Row],[ID NOTA]],[6]!NOTA[ID],0)))</f>
        <v/>
      </c>
      <c r="I37" s="2" t="str">
        <f>IF(KENKO[[#This Row],[ID NOTA]]="","",INDEX([6]!NOTA[NO.NOTA],MATCH(KENKO[[#This Row],[ID NOTA]],[6]!NOTA[ID],0)))</f>
        <v/>
      </c>
      <c r="J37" t="s">
        <v>172</v>
      </c>
      <c r="K37" s="1" t="str">
        <f>""</f>
        <v/>
      </c>
      <c r="L37" s="1">
        <f ca="1">IF(KENKO[//]="","",IF(INDEX([6]!NOTA[QTY],KENKO[//]-2)="",INDEX([6]!NOTA[C],KENKO[//]-2),INDEX([6]!NOTA[QTY],KENKO[//]-2)))</f>
        <v>1</v>
      </c>
      <c r="M37" s="1" t="str">
        <f ca="1">IF(KENKO[//]="","",IF(INDEX([6]!NOTA[STN],KENKO[//]-2)="","CTN",INDEX([6]!NOTA[STN],KENKO[//]-2)))</f>
        <v>CTN</v>
      </c>
      <c r="N37" s="5">
        <f ca="1">IF(KENKO[[#This Row],[//]]="","",IF(INDEX([6]!NOTA[HARGA/ CTN],KENKO[[#This Row],[//]]-2)="",INDEX([6]!NOTA[HARGA SATUAN],KENKO[//]-2),INDEX([6]!NOTA[HARGA/ CTN],KENKO[[#This Row],[//]]-2)))</f>
        <v>2952000</v>
      </c>
      <c r="O37" s="8">
        <f ca="1">IF(KENKO[[#This Row],[//]]="","",INDEX([6]!NOTA[DISC 1],KENKO[[#This Row],[//]]-2))</f>
        <v>0.17</v>
      </c>
      <c r="P37" s="8">
        <f ca="1">IF(KENKO[[#This Row],[//]]="","",INDEX([6]!NOTA[DISC 2],KENKO[[#This Row],[//]]-2))</f>
        <v>0</v>
      </c>
      <c r="Q37" s="5">
        <f ca="1">IF(KENKO[[#This Row],[//]]="","",INDEX([6]!NOTA[JUMLAH],KENKO[[#This Row],[//]]-2)*(100%-IF(ISNUMBER(KENKO[[#This Row],[DISC 1 (%)]]),KENKO[[#This Row],[DISC 1 (%)]],0)))</f>
        <v>2450160</v>
      </c>
      <c r="R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t="str">
        <f ca="1">IF(KENKO[[#This Row],[//]]="","",INDEX([6]!NOTA[NAMA BARANG],KENKO[[#This Row],[//]]-2))</f>
        <v>KENKO CUTTER L-500 (18MM BLADE)</v>
      </c>
      <c r="V37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7" t="s">
        <v>137</v>
      </c>
      <c r="X37" t="str">
        <f ca="1">IF(KENKO[[#This Row],[N.B.nota]]="","",ADDRESS(ROW(KENKO[QB]),COLUMN(KENKO[QB]))&amp;":"&amp;ADDRESS(ROW(),COLUMN(KENKO[QB])))</f>
        <v>$D$3:$D$37</v>
      </c>
      <c r="Y37" s="14" t="str">
        <f ca="1">IF(KENKO[[#This Row],[//]]="","",HYPERLINK("[..\\DB.xlsx]DB!e"&amp;MATCH(KENKO[[#This Row],[concat]],[4]!db[NB NOTA_C],0)+1,"&gt;"))</f>
        <v>&gt;</v>
      </c>
    </row>
    <row r="38" spans="1:25" x14ac:dyDescent="0.25">
      <c r="A38" s="4"/>
      <c r="B38" s="1" t="str">
        <f>IF(KENKO[[#This Row],[N_ID]]="","",INDEX(Table1[ID],MATCH(KENKO[[#This Row],[N_ID]],Table1[N_ID],0)))</f>
        <v/>
      </c>
      <c r="C38" s="1" t="str">
        <f>IF(KENKO[[#This Row],[ID NOTA]]="","",HYPERLINK("[NOTA_.xlsx]NOTA!e"&amp;INDEX([6]!PAJAK[//],MATCH(KENKO[[#This Row],[ID NOTA]],[6]!PAJAK[ID],0)),"&gt;") )</f>
        <v/>
      </c>
      <c r="D38" s="1" t="str">
        <f>IF(KENKO[[#This Row],[ID NOTA]]="","",INDEX(Table1[QB],MATCH(KENKO[[#This Row],[ID NOTA]],Table1[ID],0)))</f>
        <v/>
      </c>
      <c r="E3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212</v>
      </c>
      <c r="F38" s="1" t="str">
        <f>IF(KENKO[[#This Row],[NO. NOTA]]="","",INDEX([5]KE!$A:$A,MATCH(KENKO[[#This Row],[NO. NOTA]],[5]KE!$D:$D,0)))</f>
        <v/>
      </c>
      <c r="G38" s="3" t="str">
        <f>IF(KENKO[[#This Row],[ID NOTA]]="","",INDEX([6]!NOTA[TGL_H],MATCH(KENKO[[#This Row],[ID NOTA]],[6]!NOTA[ID],0)))</f>
        <v/>
      </c>
      <c r="H38" s="3" t="str">
        <f>IF(KENKO[[#This Row],[ID NOTA]]="","",INDEX([6]!NOTA[TGL.NOTA],MATCH(KENKO[[#This Row],[ID NOTA]],[6]!NOTA[ID],0)))</f>
        <v/>
      </c>
      <c r="I38" s="2" t="str">
        <f>IF(KENKO[[#This Row],[ID NOTA]]="","",INDEX([6]!NOTA[NO.NOTA],MATCH(KENKO[[#This Row],[ID NOTA]],[6]!NOTA[ID],0)))</f>
        <v/>
      </c>
      <c r="J38" t="s">
        <v>183</v>
      </c>
      <c r="K38" s="1" t="str">
        <f>""</f>
        <v/>
      </c>
      <c r="L38" s="1">
        <f ca="1">IF(KENKO[//]="","",IF(INDEX([6]!NOTA[QTY],KENKO[//]-2)="",INDEX([6]!NOTA[C],KENKO[//]-2),INDEX([6]!NOTA[QTY],KENKO[//]-2)))</f>
        <v>4</v>
      </c>
      <c r="M38" s="1" t="str">
        <f ca="1">IF(KENKO[//]="","",IF(INDEX([6]!NOTA[STN],KENKO[//]-2)="","CTN",INDEX([6]!NOTA[STN],KENKO[//]-2)))</f>
        <v>CTN</v>
      </c>
      <c r="N38" s="5">
        <f ca="1">IF(KENKO[[#This Row],[//]]="","",IF(INDEX([6]!NOTA[HARGA/ CTN],KENKO[[#This Row],[//]]-2)="",INDEX([6]!NOTA[HARGA SATUAN],KENKO[//]-2),INDEX([6]!NOTA[HARGA/ CTN],KENKO[[#This Row],[//]]-2)))</f>
        <v>1641600</v>
      </c>
      <c r="O38" s="8">
        <f ca="1">IF(KENKO[[#This Row],[//]]="","",INDEX([6]!NOTA[DISC 1],KENKO[[#This Row],[//]]-2))</f>
        <v>0.17</v>
      </c>
      <c r="P38" s="8">
        <f ca="1">IF(KENKO[[#This Row],[//]]="","",INDEX([6]!NOTA[DISC 2],KENKO[[#This Row],[//]]-2))</f>
        <v>0</v>
      </c>
      <c r="Q38" s="5">
        <f ca="1">IF(KENKO[[#This Row],[//]]="","",INDEX([6]!NOTA[JUMLAH],KENKO[[#This Row],[//]]-2)*(100%-IF(ISNUMBER(KENKO[[#This Row],[DISC 1 (%)]]),KENKO[[#This Row],[DISC 1 (%)]],0)))</f>
        <v>5450112</v>
      </c>
      <c r="R3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t="str">
        <f ca="1">IF(KENKO[[#This Row],[//]]="","",INDEX([6]!NOTA[NAMA BARANG],KENKO[[#This Row],[//]]-2))</f>
        <v>KENKO CORRECTION FLUID KE-108</v>
      </c>
      <c r="V3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8" t="s">
        <v>137</v>
      </c>
      <c r="X38" t="str">
        <f ca="1">IF(KENKO[[#This Row],[N.B.nota]]="","",ADDRESS(ROW(KENKO[QB]),COLUMN(KENKO[QB]))&amp;":"&amp;ADDRESS(ROW(),COLUMN(KENKO[QB])))</f>
        <v>$D$3:$D$38</v>
      </c>
      <c r="Y38" s="14" t="str">
        <f ca="1">IF(KENKO[[#This Row],[//]]="","",HYPERLINK("[..\\DB.xlsx]DB!e"&amp;MATCH(KENKO[[#This Row],[concat]],[4]!db[NB NOTA_C],0)+1,"&gt;"))</f>
        <v>&gt;</v>
      </c>
    </row>
    <row r="39" spans="1:25" x14ac:dyDescent="0.25">
      <c r="A39" s="4"/>
      <c r="B39" s="1" t="str">
        <f>IF(KENKO[[#This Row],[N_ID]]="","",INDEX(Table1[ID],MATCH(KENKO[[#This Row],[N_ID]],Table1[N_ID],0)))</f>
        <v/>
      </c>
      <c r="C39" s="1" t="str">
        <f>IF(KENKO[[#This Row],[ID NOTA]]="","",HYPERLINK("[NOTA_.xlsx]NOTA!e"&amp;INDEX([6]!PAJAK[//],MATCH(KENKO[[#This Row],[ID NOTA]],[6]!PAJAK[ID],0)),"&gt;") )</f>
        <v/>
      </c>
      <c r="D39" s="1" t="str">
        <f>IF(KENKO[[#This Row],[ID NOTA]]="","",INDEX(Table1[QB],MATCH(KENKO[[#This Row],[ID NOTA]],Table1[ID],0)))</f>
        <v/>
      </c>
      <c r="E3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213</v>
      </c>
      <c r="F39" s="1" t="str">
        <f>IF(KENKO[[#This Row],[NO. NOTA]]="","",INDEX([5]KE!$A:$A,MATCH(KENKO[[#This Row],[NO. NOTA]],[5]KE!$D:$D,0)))</f>
        <v/>
      </c>
      <c r="G39" s="3" t="str">
        <f>IF(KENKO[[#This Row],[ID NOTA]]="","",INDEX([6]!NOTA[TGL_H],MATCH(KENKO[[#This Row],[ID NOTA]],[6]!NOTA[ID],0)))</f>
        <v/>
      </c>
      <c r="H39" s="3" t="str">
        <f>IF(KENKO[[#This Row],[ID NOTA]]="","",INDEX([6]!NOTA[TGL.NOTA],MATCH(KENKO[[#This Row],[ID NOTA]],[6]!NOTA[ID],0)))</f>
        <v/>
      </c>
      <c r="I39" s="2" t="str">
        <f>IF(KENKO[[#This Row],[ID NOTA]]="","",INDEX([6]!NOTA[NO.NOTA],MATCH(KENKO[[#This Row],[ID NOTA]],[6]!NOTA[ID],0)))</f>
        <v/>
      </c>
      <c r="J39" t="s">
        <v>167</v>
      </c>
      <c r="K39" s="1" t="str">
        <f>""</f>
        <v/>
      </c>
      <c r="L39" s="1">
        <f ca="1">IF(KENKO[//]="","",IF(INDEX([6]!NOTA[QTY],KENKO[//]-2)="",INDEX([6]!NOTA[C],KENKO[//]-2),INDEX([6]!NOTA[QTY],KENKO[//]-2)))</f>
        <v>5</v>
      </c>
      <c r="M39" s="1" t="str">
        <f ca="1">IF(KENKO[//]="","",IF(INDEX([6]!NOTA[STN],KENKO[//]-2)="","CTN",INDEX([6]!NOTA[STN],KENKO[//]-2)))</f>
        <v>CTN</v>
      </c>
      <c r="N39" s="5">
        <f ca="1">IF(KENKO[[#This Row],[//]]="","",IF(INDEX([6]!NOTA[HARGA/ CTN],KENKO[[#This Row],[//]]-2)="",INDEX([6]!NOTA[HARGA SATUAN],KENKO[//]-2),INDEX([6]!NOTA[HARGA/ CTN],KENKO[[#This Row],[//]]-2)))</f>
        <v>1900800</v>
      </c>
      <c r="O39" s="8">
        <f ca="1">IF(KENKO[[#This Row],[//]]="","",INDEX([6]!NOTA[DISC 1],KENKO[[#This Row],[//]]-2))</f>
        <v>0.17</v>
      </c>
      <c r="P39" s="8">
        <f ca="1">IF(KENKO[[#This Row],[//]]="","",INDEX([6]!NOTA[DISC 2],KENKO[[#This Row],[//]]-2))</f>
        <v>0</v>
      </c>
      <c r="Q39" s="5">
        <f ca="1">IF(KENKO[[#This Row],[//]]="","",INDEX([6]!NOTA[JUMLAH],KENKO[[#This Row],[//]]-2)*(100%-IF(ISNUMBER(KENKO[[#This Row],[DISC 1 (%)]]),KENKO[[#This Row],[DISC 1 (%)]],0)))</f>
        <v>7888320</v>
      </c>
      <c r="R3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6087564</v>
      </c>
      <c r="S3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29721636</v>
      </c>
      <c r="T3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t="str">
        <f ca="1">IF(KENKO[[#This Row],[//]]="","",INDEX([6]!NOTA[NAMA BARANG],KENKO[[#This Row],[//]]-2))</f>
        <v>KENKO CORRECTION FLUID KE-01</v>
      </c>
      <c r="V39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9" t="s">
        <v>137</v>
      </c>
      <c r="X39" t="str">
        <f ca="1">IF(KENKO[[#This Row],[N.B.nota]]="","",ADDRESS(ROW(KENKO[QB]),COLUMN(KENKO[QB]))&amp;":"&amp;ADDRESS(ROW(),COLUMN(KENKO[QB])))</f>
        <v>$D$3:$D$39</v>
      </c>
      <c r="Y39" s="14" t="str">
        <f ca="1">IF(KENKO[[#This Row],[//]]="","",HYPERLINK("[..\\DB.xlsx]DB!e"&amp;MATCH(KENKO[[#This Row],[concat]],[4]!db[NB NOTA_C],0)+1,"&gt;"))</f>
        <v>&gt;</v>
      </c>
    </row>
    <row r="40" spans="1:25" x14ac:dyDescent="0.25">
      <c r="A40" s="4"/>
      <c r="B40" s="1" t="str">
        <f>IF(KENKO[[#This Row],[N_ID]]="","",INDEX(Table1[ID],MATCH(KENKO[[#This Row],[N_ID]],Table1[N_ID],0)))</f>
        <v/>
      </c>
      <c r="C40" s="1" t="str">
        <f>IF(KENKO[[#This Row],[ID NOTA]]="","",HYPERLINK("[NOTA_.xlsx]NOTA!e"&amp;INDEX([6]!PAJAK[//],MATCH(KENKO[[#This Row],[ID NOTA]],[6]!PAJAK[ID],0)),"&gt;") )</f>
        <v/>
      </c>
      <c r="D40" s="1" t="str">
        <f>IF(KENKO[[#This Row],[ID NOTA]]="","",INDEX(Table1[QB],MATCH(KENKO[[#This Row],[ID NOTA]],Table1[ID],0)))</f>
        <v/>
      </c>
      <c r="E40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" s="1" t="str">
        <f>IF(KENKO[[#This Row],[NO. NOTA]]="","",INDEX([5]KE!$A:$A,MATCH(KENKO[[#This Row],[NO. NOTA]],[5]KE!$D:$D,0)))</f>
        <v/>
      </c>
      <c r="G40" s="3" t="str">
        <f>IF(KENKO[[#This Row],[ID NOTA]]="","",INDEX([6]!NOTA[TGL_H],MATCH(KENKO[[#This Row],[ID NOTA]],[6]!NOTA[ID],0)))</f>
        <v/>
      </c>
      <c r="H40" s="3" t="str">
        <f>IF(KENKO[[#This Row],[ID NOTA]]="","",INDEX([6]!NOTA[TGL.NOTA],MATCH(KENKO[[#This Row],[ID NOTA]],[6]!NOTA[ID],0)))</f>
        <v/>
      </c>
      <c r="I40" s="2" t="str">
        <f>IF(KENKO[[#This Row],[ID NOTA]]="","",INDEX([6]!NOTA[NO.NOTA],MATCH(KENKO[[#This Row],[ID NOTA]],[6]!NOTA[ID],0)))</f>
        <v/>
      </c>
      <c r="J40" t="s">
        <v>136</v>
      </c>
      <c r="K40" s="1" t="str">
        <f>""</f>
        <v/>
      </c>
      <c r="L40" s="1" t="str">
        <f ca="1">IF(KENKO[//]="","",IF(INDEX([6]!NOTA[QTY],KENKO[//]-2)="",INDEX([6]!NOTA[C],KENKO[//]-2),INDEX([6]!NOTA[QTY],KENKO[//]-2)))</f>
        <v/>
      </c>
      <c r="M40" s="1" t="str">
        <f ca="1">IF(KENKO[//]="","",IF(INDEX([6]!NOTA[STN],KENKO[//]-2)="","CTN",INDEX([6]!NOTA[STN],KENKO[//]-2)))</f>
        <v/>
      </c>
      <c r="N40" s="5" t="str">
        <f ca="1">IF(KENKO[[#This Row],[//]]="","",IF(INDEX([6]!NOTA[HARGA/ CTN],KENKO[[#This Row],[//]]-2)="",INDEX([6]!NOTA[HARGA SATUAN],KENKO[//]-2),INDEX([6]!NOTA[HARGA/ CTN],KENKO[[#This Row],[//]]-2)))</f>
        <v/>
      </c>
      <c r="O40" s="8" t="str">
        <f ca="1">IF(KENKO[[#This Row],[//]]="","",INDEX([6]!NOTA[DISC 1],KENKO[[#This Row],[//]]-2))</f>
        <v/>
      </c>
      <c r="P40" s="8" t="str">
        <f ca="1">IF(KENKO[[#This Row],[//]]="","",INDEX([6]!NOTA[DISC 2],KENKO[[#This Row],[//]]-2))</f>
        <v/>
      </c>
      <c r="Q40" s="5" t="str">
        <f ca="1">IF(KENKO[[#This Row],[//]]="","",INDEX([6]!NOTA[JUMLAH],KENKO[[#This Row],[//]]-2)*(100%-IF(ISNUMBER(KENKO[[#This Row],[DISC 1 (%)]]),KENKO[[#This Row],[DISC 1 (%)]],0)))</f>
        <v/>
      </c>
      <c r="R4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t="str">
        <f ca="1">IF(KENKO[[#This Row],[//]]="","",INDEX([6]!NOTA[NAMA BARANG],KENKO[[#This Row],[//]]-2))</f>
        <v/>
      </c>
      <c r="V40" t="str">
        <f ca="1">LOWER(SUBSTITUTE(SUBSTITUTE(SUBSTITUTE(SUBSTITUTE(SUBSTITUTE(SUBSTITUTE(SUBSTITUTE(SUBSTITUTE(KENKO[[#This Row],[N.B.nota]]," ",""),"-",""),"(",""),")",""),".",""),",",""),"/",""),"""",""))</f>
        <v/>
      </c>
      <c r="W40" t="s">
        <v>136</v>
      </c>
      <c r="X40" t="str">
        <f ca="1">IF(KENKO[[#This Row],[N.B.nota]]="","",ADDRESS(ROW(KENKO[QB]),COLUMN(KENKO[QB]))&amp;":"&amp;ADDRESS(ROW(),COLUMN(KENKO[QB])))</f>
        <v/>
      </c>
      <c r="Y40" s="14" t="str">
        <f ca="1">IF(KENKO[[#This Row],[//]]="","",HYPERLINK("[..\\DB.xlsx]DB!e"&amp;MATCH(KENKO[[#This Row],[concat]],[4]!db[NB NOTA_C],0)+1,"&gt;"))</f>
        <v/>
      </c>
    </row>
    <row r="41" spans="1:25" x14ac:dyDescent="0.25">
      <c r="A41" s="4" t="s">
        <v>52</v>
      </c>
      <c r="B41" s="6">
        <f ca="1">IF(KENKO[[#This Row],[N_ID]]="","",INDEX(Table1[ID],MATCH(KENKO[[#This Row],[N_ID]],Table1[N_ID],0)))</f>
        <v>44</v>
      </c>
      <c r="C41" s="6" t="str">
        <f ca="1">IF(KENKO[[#This Row],[ID NOTA]]="","",HYPERLINK("[NOTA_.xlsx]NOTA!e"&amp;INDEX([6]!PAJAK[//],MATCH(KENKO[[#This Row],[ID NOTA]],[6]!PAJAK[ID],0)),"&gt;") )</f>
        <v>&gt;</v>
      </c>
      <c r="D41" s="6">
        <f ca="1">IF(KENKO[[#This Row],[ID NOTA]]="","",INDEX(Table1[QB],MATCH(KENKO[[#This Row],[ID NOTA]],Table1[ID],0)))</f>
        <v>6</v>
      </c>
      <c r="E4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215</v>
      </c>
      <c r="F41" s="6" t="e">
        <f ca="1">IF(KENKO[[#This Row],[NO. NOTA]]="","",INDEX([5]KE!$A:$A,MATCH(KENKO[[#This Row],[NO. NOTA]],[5]KE!$D:$D,0)))</f>
        <v>#N/A</v>
      </c>
      <c r="G41" s="3">
        <f ca="1">IF(KENKO[[#This Row],[ID NOTA]]="","",INDEX([6]!NOTA[TGL_H],MATCH(KENKO[[#This Row],[ID NOTA]],[6]!NOTA[ID],0)))</f>
        <v>44753</v>
      </c>
      <c r="H41" s="3">
        <f ca="1">IF(KENKO[[#This Row],[ID NOTA]]="","",INDEX([6]!NOTA[TGL.NOTA],MATCH(KENKO[[#This Row],[ID NOTA]],[6]!NOTA[ID],0)))</f>
        <v>44749</v>
      </c>
      <c r="I41" s="19">
        <f ca="1">IF(KENKO[[#This Row],[ID NOTA]]="","",INDEX([6]!NOTA[NO.NOTA],MATCH(KENKO[[#This Row],[ID NOTA]],[6]!NOTA[ID],0)))</f>
        <v>22070585</v>
      </c>
      <c r="J41" s="4" t="s">
        <v>184</v>
      </c>
      <c r="K41" s="6" t="str">
        <f>""</f>
        <v/>
      </c>
      <c r="L41" s="6">
        <f ca="1">IF(KENKO[//]="","",IF(INDEX([6]!NOTA[QTY],KENKO[//]-2)="",INDEX([6]!NOTA[C],KENKO[//]-2),INDEX([6]!NOTA[QTY],KENKO[//]-2)))</f>
        <v>2</v>
      </c>
      <c r="M41" s="6" t="str">
        <f ca="1">IF(KENKO[//]="","",IF(INDEX([6]!NOTA[STN],KENKO[//]-2)="","CTN",INDEX([6]!NOTA[STN],KENKO[//]-2)))</f>
        <v>CTN</v>
      </c>
      <c r="N41" s="5">
        <f ca="1">IF(KENKO[[#This Row],[//]]="","",IF(INDEX([6]!NOTA[HARGA/ CTN],KENKO[[#This Row],[//]]-2)="",INDEX([6]!NOTA[HARGA SATUAN],KENKO[//]-2),INDEX([6]!NOTA[HARGA/ CTN],KENKO[[#This Row],[//]]-2)))</f>
        <v>588000</v>
      </c>
      <c r="O41" s="8">
        <f ca="1">IF(KENKO[[#This Row],[//]]="","",INDEX([6]!NOTA[DISC 1],KENKO[[#This Row],[//]]-2))</f>
        <v>0.17</v>
      </c>
      <c r="P41" s="8">
        <f ca="1">IF(KENKO[[#This Row],[//]]="","",INDEX([6]!NOTA[DISC 2],KENKO[[#This Row],[//]]-2))</f>
        <v>0</v>
      </c>
      <c r="Q41" s="5">
        <f ca="1">IF(KENKO[[#This Row],[//]]="","",INDEX([6]!NOTA[JUMLAH],KENKO[[#This Row],[//]]-2)*(100%-IF(ISNUMBER(KENKO[[#This Row],[DISC 1 (%)]]),KENKO[[#This Row],[DISC 1 (%)]],0)))</f>
        <v>976080</v>
      </c>
      <c r="R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4" t="str">
        <f ca="1">IF(KENKO[[#This Row],[//]]="","",INDEX([6]!NOTA[NAMA BARANG],KENKO[[#This Row],[//]]-2))</f>
        <v>KENKO DOUBLE TAPE 6MM HG- BLUE CORE</v>
      </c>
      <c r="V41" s="4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41" s="4" t="s">
        <v>137</v>
      </c>
      <c r="X41" s="4" t="str">
        <f ca="1">IF(KENKO[[#This Row],[N.B.nota]]="","",ADDRESS(ROW(KENKO[QB]),COLUMN(KENKO[QB]))&amp;":"&amp;ADDRESS(ROW(),COLUMN(KENKO[QB])))</f>
        <v>$D$3:$D$41</v>
      </c>
      <c r="Y41" s="14" t="str">
        <f ca="1">IF(KENKO[[#This Row],[//]]="","",HYPERLINK("[..\\DB.xlsx]DB!e"&amp;MATCH(KENKO[[#This Row],[concat]],[4]!db[NB NOTA_C],0)+1,"&gt;"))</f>
        <v>&gt;</v>
      </c>
    </row>
    <row r="42" spans="1:25" x14ac:dyDescent="0.25">
      <c r="A42" s="4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NOTA]]="","",HYPERLINK("[NOTA_.xlsx]NOTA!e"&amp;INDEX([6]!PAJAK[//],MATCH(KENKO[[#This Row],[ID NOTA]],[6]!PAJAK[ID],0)),"&gt;")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216</v>
      </c>
      <c r="F42" s="6" t="str">
        <f>IF(KENKO[[#This Row],[NO. NOTA]]="","",INDEX([5]KE!$A:$A,MATCH(KENKO[[#This Row],[NO. NOTA]],[5]KE!$D:$D,0)))</f>
        <v/>
      </c>
      <c r="G42" s="3" t="str">
        <f>IF(KENKO[[#This Row],[ID NOTA]]="","",INDEX([6]!NOTA[TGL_H],MATCH(KENKO[[#This Row],[ID NOTA]],[6]!NOTA[ID],0)))</f>
        <v/>
      </c>
      <c r="H42" s="3" t="str">
        <f>IF(KENKO[[#This Row],[ID NOTA]]="","",INDEX([6]!NOTA[TGL.NOTA],MATCH(KENKO[[#This Row],[ID NOTA]],[6]!NOTA[ID],0)))</f>
        <v/>
      </c>
      <c r="I42" s="19" t="str">
        <f>IF(KENKO[[#This Row],[ID NOTA]]="","",INDEX([6]!NOTA[NO.NOTA],MATCH(KENKO[[#This Row],[ID NOTA]],[6]!NOTA[ID],0)))</f>
        <v/>
      </c>
      <c r="J42" s="4" t="s">
        <v>185</v>
      </c>
      <c r="K42" s="6" t="str">
        <f>""</f>
        <v/>
      </c>
      <c r="L42" s="6">
        <f ca="1">IF(KENKO[//]="","",IF(INDEX([6]!NOTA[QTY],KENKO[//]-2)="",INDEX([6]!NOTA[C],KENKO[//]-2),INDEX([6]!NOTA[QTY],KENKO[//]-2)))</f>
        <v>1</v>
      </c>
      <c r="M42" s="6" t="str">
        <f ca="1">IF(KENKO[//]="","",IF(INDEX([6]!NOTA[STN],KENKO[//]-2)="","CTN",INDEX([6]!NOTA[STN],KENKO[//]-2)))</f>
        <v>CTN</v>
      </c>
      <c r="N42" s="5">
        <f ca="1">IF(KENKO[[#This Row],[//]]="","",IF(INDEX([6]!NOTA[HARGA/ CTN],KENKO[[#This Row],[//]]-2)="",INDEX([6]!NOTA[HARGA SATUAN],KENKO[//]-2),INDEX([6]!NOTA[HARGA/ CTN],KENKO[[#This Row],[//]]-2)))</f>
        <v>588000</v>
      </c>
      <c r="O42" s="8">
        <f ca="1">IF(KENKO[[#This Row],[//]]="","",INDEX([6]!NOTA[DISC 1],KENKO[[#This Row],[//]]-2))</f>
        <v>0.17</v>
      </c>
      <c r="P42" s="8">
        <f ca="1">IF(KENKO[[#This Row],[//]]="","",INDEX([6]!NOTA[DISC 2],KENKO[[#This Row],[//]]-2))</f>
        <v>0</v>
      </c>
      <c r="Q42" s="5">
        <f ca="1">IF(KENKO[[#This Row],[//]]="","",INDEX([6]!NOTA[JUMLAH],KENKO[[#This Row],[//]]-2)*(100%-IF(ISNUMBER(KENKO[[#This Row],[DISC 1 (%)]]),KENKO[[#This Row],[DISC 1 (%)]],0)))</f>
        <v>488040</v>
      </c>
      <c r="R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4" t="str">
        <f ca="1">IF(KENKO[[#This Row],[//]]="","",INDEX([6]!NOTA[NAMA BARANG],KENKO[[#This Row],[//]]-2))</f>
        <v>KENKO DOUBLE TAPE 12MM HG- BLUE CORE</v>
      </c>
      <c r="V42" s="4" t="str">
        <f ca="1">LOWER(SUBSTITUTE(SUBSTITUTE(SUBSTITUTE(SUBSTITUTE(SUBSTITUTE(SUBSTITUTE(SUBSTITUTE(SUBSTITUTE(KENKO[[#This Row],[N.B.nota]]," ",""),"-",""),"(",""),")",""),".",""),",",""),"/",""),"""",""))</f>
        <v>kenkodoubletape12mmhgbluecore</v>
      </c>
      <c r="W42" s="4" t="s">
        <v>137</v>
      </c>
      <c r="X42" s="4" t="str">
        <f ca="1">IF(KENKO[[#This Row],[N.B.nota]]="","",ADDRESS(ROW(KENKO[QB]),COLUMN(KENKO[QB]))&amp;":"&amp;ADDRESS(ROW(),COLUMN(KENKO[QB])))</f>
        <v>$D$3:$D$42</v>
      </c>
      <c r="Y42" s="14" t="str">
        <f ca="1">IF(KENKO[[#This Row],[//]]="","",HYPERLINK("[..\\DB.xlsx]DB!e"&amp;MATCH(KENKO[[#This Row],[concat]],[4]!db[NB NOTA_C],0)+1,"&gt;"))</f>
        <v>&gt;</v>
      </c>
    </row>
    <row r="43" spans="1:25" x14ac:dyDescent="0.25">
      <c r="A43" s="4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NOTA]]="","",HYPERLINK("[NOTA_.xlsx]NOTA!e"&amp;INDEX([6]!PAJAK[//],MATCH(KENKO[[#This Row],[ID NOTA]],[6]!PAJAK[ID],0)),"&gt;")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217</v>
      </c>
      <c r="F43" s="6" t="str">
        <f>IF(KENKO[[#This Row],[NO. NOTA]]="","",INDEX([5]KE!$A:$A,MATCH(KENKO[[#This Row],[NO. NOTA]],[5]KE!$D:$D,0)))</f>
        <v/>
      </c>
      <c r="G43" s="3" t="str">
        <f>IF(KENKO[[#This Row],[ID NOTA]]="","",INDEX([6]!NOTA[TGL_H],MATCH(KENKO[[#This Row],[ID NOTA]],[6]!NOTA[ID],0)))</f>
        <v/>
      </c>
      <c r="H43" s="3" t="str">
        <f>IF(KENKO[[#This Row],[ID NOTA]]="","",INDEX([6]!NOTA[TGL.NOTA],MATCH(KENKO[[#This Row],[ID NOTA]],[6]!NOTA[ID],0)))</f>
        <v/>
      </c>
      <c r="I43" s="19" t="str">
        <f>IF(KENKO[[#This Row],[ID NOTA]]="","",INDEX([6]!NOTA[NO.NOTA],MATCH(KENKO[[#This Row],[ID NOTA]],[6]!NOTA[ID],0)))</f>
        <v/>
      </c>
      <c r="J43" s="4" t="s">
        <v>186</v>
      </c>
      <c r="K43" s="6" t="str">
        <f>""</f>
        <v/>
      </c>
      <c r="L43" s="6">
        <f ca="1">IF(KENKO[//]="","",IF(INDEX([6]!NOTA[QTY],KENKO[//]-2)="",INDEX([6]!NOTA[C],KENKO[//]-2),INDEX([6]!NOTA[QTY],KENKO[//]-2)))</f>
        <v>10</v>
      </c>
      <c r="M43" s="6" t="str">
        <f ca="1">IF(KENKO[//]="","",IF(INDEX([6]!NOTA[STN],KENKO[//]-2)="","CTN",INDEX([6]!NOTA[STN],KENKO[//]-2)))</f>
        <v>CTN</v>
      </c>
      <c r="N43" s="5">
        <f ca="1">IF(KENKO[[#This Row],[//]]="","",IF(INDEX([6]!NOTA[HARGA/ CTN],KENKO[[#This Row],[//]]-2)="",INDEX([6]!NOTA[HARGA SATUAN],KENKO[//]-2),INDEX([6]!NOTA[HARGA/ CTN],KENKO[[#This Row],[//]]-2)))</f>
        <v>1275000</v>
      </c>
      <c r="O43" s="8">
        <f ca="1">IF(KENKO[[#This Row],[//]]="","",INDEX([6]!NOTA[DISC 1],KENKO[[#This Row],[//]]-2))</f>
        <v>0.17</v>
      </c>
      <c r="P43" s="8">
        <f ca="1">IF(KENKO[[#This Row],[//]]="","",INDEX([6]!NOTA[DISC 2],KENKO[[#This Row],[//]]-2))</f>
        <v>0</v>
      </c>
      <c r="Q43" s="5">
        <f ca="1">IF(KENKO[[#This Row],[//]]="","",INDEX([6]!NOTA[JUMLAH],KENKO[[#This Row],[//]]-2)*(100%-IF(ISNUMBER(KENKO[[#This Row],[DISC 1 (%)]]),KENKO[[#This Row],[DISC 1 (%)]],0)))</f>
        <v>10582500</v>
      </c>
      <c r="R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4" t="str">
        <f ca="1">IF(KENKO[[#This Row],[//]]="","",INDEX([6]!NOTA[NAMA BARANG],KENKO[[#This Row],[//]]-2))</f>
        <v>KENKO PRICE LABEL 5002 (2 LINE) @ 10 ROL</v>
      </c>
      <c r="V43" s="4" t="str">
        <f ca="1">LOWER(SUBSTITUTE(SUBSTITUTE(SUBSTITUTE(SUBSTITUTE(SUBSTITUTE(SUBSTITUTE(SUBSTITUTE(SUBSTITUTE(KENKO[[#This Row],[N.B.nota]]," ",""),"-",""),"(",""),")",""),".",""),",",""),"/",""),"""",""))</f>
        <v>kenkopricelabel50022line@10rol</v>
      </c>
      <c r="W43" s="4" t="s">
        <v>137</v>
      </c>
      <c r="X43" s="4" t="str">
        <f ca="1">IF(KENKO[[#This Row],[N.B.nota]]="","",ADDRESS(ROW(KENKO[QB]),COLUMN(KENKO[QB]))&amp;":"&amp;ADDRESS(ROW(),COLUMN(KENKO[QB])))</f>
        <v>$D$3:$D$43</v>
      </c>
      <c r="Y43" s="14" t="str">
        <f ca="1">IF(KENKO[[#This Row],[//]]="","",HYPERLINK("[..\\DB.xlsx]DB!e"&amp;MATCH(KENKO[[#This Row],[concat]],[4]!db[NB NOTA_C],0)+1,"&gt;"))</f>
        <v>&gt;</v>
      </c>
    </row>
    <row r="44" spans="1:25" x14ac:dyDescent="0.25">
      <c r="A44" s="4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NOTA]]="","",HYPERLINK("[NOTA_.xlsx]NOTA!e"&amp;INDEX([6]!PAJAK[//],MATCH(KENKO[[#This Row],[ID NOTA]],[6]!PAJAK[ID],0)),"&gt;") )</f>
        <v/>
      </c>
      <c r="D44" s="6" t="str">
        <f>IF(KENKO[[#This Row],[ID NOTA]]="","",INDEX(Table1[QB],MATCH(KENKO[[#This Row],[ID NOTA]],Table1[ID],0)))</f>
        <v/>
      </c>
      <c r="E4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218</v>
      </c>
      <c r="F44" s="6" t="str">
        <f>IF(KENKO[[#This Row],[NO. NOTA]]="","",INDEX([5]KE!$A:$A,MATCH(KENKO[[#This Row],[NO. NOTA]],[5]KE!$D:$D,0)))</f>
        <v/>
      </c>
      <c r="G44" s="3" t="str">
        <f>IF(KENKO[[#This Row],[ID NOTA]]="","",INDEX([6]!NOTA[TGL_H],MATCH(KENKO[[#This Row],[ID NOTA]],[6]!NOTA[ID],0)))</f>
        <v/>
      </c>
      <c r="H44" s="3" t="str">
        <f>IF(KENKO[[#This Row],[ID NOTA]]="","",INDEX([6]!NOTA[TGL.NOTA],MATCH(KENKO[[#This Row],[ID NOTA]],[6]!NOTA[ID],0)))</f>
        <v/>
      </c>
      <c r="I44" s="19" t="str">
        <f>IF(KENKO[[#This Row],[ID NOTA]]="","",INDEX([6]!NOTA[NO.NOTA],MATCH(KENKO[[#This Row],[ID NOTA]],[6]!NOTA[ID],0)))</f>
        <v/>
      </c>
      <c r="J44" s="4" t="s">
        <v>174</v>
      </c>
      <c r="K44" s="6" t="str">
        <f>""</f>
        <v/>
      </c>
      <c r="L44" s="6">
        <f ca="1">IF(KENKO[//]="","",IF(INDEX([6]!NOTA[QTY],KENKO[//]-2)="",INDEX([6]!NOTA[C],KENKO[//]-2),INDEX([6]!NOTA[QTY],KENKO[//]-2)))</f>
        <v>1</v>
      </c>
      <c r="M44" s="6" t="str">
        <f ca="1">IF(KENKO[//]="","",IF(INDEX([6]!NOTA[STN],KENKO[//]-2)="","CTN",INDEX([6]!NOTA[STN],KENKO[//]-2)))</f>
        <v>CTN</v>
      </c>
      <c r="N44" s="5">
        <f ca="1">IF(KENKO[[#This Row],[//]]="","",IF(INDEX([6]!NOTA[HARGA/ CTN],KENKO[[#This Row],[//]]-2)="",INDEX([6]!NOTA[HARGA SATUAN],KENKO[//]-2),INDEX([6]!NOTA[HARGA/ CTN],KENKO[[#This Row],[//]]-2)))</f>
        <v>3758400</v>
      </c>
      <c r="O44" s="8">
        <f ca="1">IF(KENKO[[#This Row],[//]]="","",INDEX([6]!NOTA[DISC 1],KENKO[[#This Row],[//]]-2))</f>
        <v>0.17</v>
      </c>
      <c r="P44" s="8">
        <f ca="1">IF(KENKO[[#This Row],[//]]="","",INDEX([6]!NOTA[DISC 2],KENKO[[#This Row],[//]]-2))</f>
        <v>0</v>
      </c>
      <c r="Q44" s="5">
        <f ca="1">IF(KENKO[[#This Row],[//]]="","",INDEX([6]!NOTA[JUMLAH],KENKO[[#This Row],[//]]-2)*(100%-IF(ISNUMBER(KENKO[[#This Row],[DISC 1 (%)]]),KENKO[[#This Row],[DISC 1 (%)]],0)))</f>
        <v>3119472</v>
      </c>
      <c r="R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4" t="str">
        <f ca="1">IF(KENKO[[#This Row],[//]]="","",INDEX([6]!NOTA[NAMA BARANG],KENKO[[#This Row],[//]]-2))</f>
        <v>KENKO GEL PEN WINJELLER KE-600 BLACK</v>
      </c>
      <c r="V44" s="4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44" s="4" t="s">
        <v>137</v>
      </c>
      <c r="X44" s="4" t="str">
        <f ca="1">IF(KENKO[[#This Row],[N.B.nota]]="","",ADDRESS(ROW(KENKO[QB]),COLUMN(KENKO[QB]))&amp;":"&amp;ADDRESS(ROW(),COLUMN(KENKO[QB])))</f>
        <v>$D$3:$D$44</v>
      </c>
      <c r="Y44" s="14" t="str">
        <f ca="1">IF(KENKO[[#This Row],[//]]="","",HYPERLINK("[..\\DB.xlsx]DB!e"&amp;MATCH(KENKO[[#This Row],[concat]],[4]!db[NB NOTA_C],0)+1,"&gt;"))</f>
        <v>&gt;</v>
      </c>
    </row>
    <row r="45" spans="1:25" x14ac:dyDescent="0.25">
      <c r="A45" s="4"/>
      <c r="B45" s="6" t="str">
        <f>IF(KENKO[[#This Row],[N_ID]]="","",INDEX(Table1[ID],MATCH(KENKO[[#This Row],[N_ID]],Table1[N_ID],0)))</f>
        <v/>
      </c>
      <c r="C45" s="6" t="str">
        <f>IF(KENKO[[#This Row],[ID NOTA]]="","",HYPERLINK("[NOTA_.xlsx]NOTA!e"&amp;INDEX([6]!PAJAK[//],MATCH(KENKO[[#This Row],[ID NOTA]],[6]!PAJAK[ID],0)),"&gt;") )</f>
        <v/>
      </c>
      <c r="D45" s="6" t="str">
        <f>IF(KENKO[[#This Row],[ID NOTA]]="","",INDEX(Table1[QB],MATCH(KENKO[[#This Row],[ID NOTA]],Table1[ID],0)))</f>
        <v/>
      </c>
      <c r="E4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219</v>
      </c>
      <c r="F45" s="6" t="str">
        <f>IF(KENKO[[#This Row],[NO. NOTA]]="","",INDEX([5]KE!$A:$A,MATCH(KENKO[[#This Row],[NO. NOTA]],[5]KE!$D:$D,0)))</f>
        <v/>
      </c>
      <c r="G45" s="3" t="str">
        <f>IF(KENKO[[#This Row],[ID NOTA]]="","",INDEX([6]!NOTA[TGL_H],MATCH(KENKO[[#This Row],[ID NOTA]],[6]!NOTA[ID],0)))</f>
        <v/>
      </c>
      <c r="H45" s="3" t="str">
        <f>IF(KENKO[[#This Row],[ID NOTA]]="","",INDEX([6]!NOTA[TGL.NOTA],MATCH(KENKO[[#This Row],[ID NOTA]],[6]!NOTA[ID],0)))</f>
        <v/>
      </c>
      <c r="I45" s="19" t="str">
        <f>IF(KENKO[[#This Row],[ID NOTA]]="","",INDEX([6]!NOTA[NO.NOTA],MATCH(KENKO[[#This Row],[ID NOTA]],[6]!NOTA[ID],0)))</f>
        <v/>
      </c>
      <c r="J45" s="4" t="s">
        <v>170</v>
      </c>
      <c r="K45" s="6" t="str">
        <f>""</f>
        <v/>
      </c>
      <c r="L45" s="6">
        <f ca="1">IF(KENKO[//]="","",IF(INDEX([6]!NOTA[QTY],KENKO[//]-2)="",INDEX([6]!NOTA[C],KENKO[//]-2),INDEX([6]!NOTA[QTY],KENKO[//]-2)))</f>
        <v>3</v>
      </c>
      <c r="M45" s="6" t="str">
        <f ca="1">IF(KENKO[//]="","",IF(INDEX([6]!NOTA[STN],KENKO[//]-2)="","CTN",INDEX([6]!NOTA[STN],KENKO[//]-2)))</f>
        <v>CTN</v>
      </c>
      <c r="N45" s="5">
        <f ca="1">IF(KENKO[[#This Row],[//]]="","",IF(INDEX([6]!NOTA[HARGA/ CTN],KENKO[[#This Row],[//]]-2)="",INDEX([6]!NOTA[HARGA SATUAN],KENKO[//]-2),INDEX([6]!NOTA[HARGA/ CTN],KENKO[[#This Row],[//]]-2)))</f>
        <v>3758400</v>
      </c>
      <c r="O45" s="8">
        <f ca="1">IF(KENKO[[#This Row],[//]]="","",INDEX([6]!NOTA[DISC 1],KENKO[[#This Row],[//]]-2))</f>
        <v>0.17</v>
      </c>
      <c r="P45" s="8">
        <f ca="1">IF(KENKO[[#This Row],[//]]="","",INDEX([6]!NOTA[DISC 2],KENKO[[#This Row],[//]]-2))</f>
        <v>0</v>
      </c>
      <c r="Q45" s="5">
        <f ca="1">IF(KENKO[[#This Row],[//]]="","",INDEX([6]!NOTA[JUMLAH],KENKO[[#This Row],[//]]-2)*(100%-IF(ISNUMBER(KENKO[[#This Row],[DISC 1 (%)]]),KENKO[[#This Row],[DISC 1 (%)]],0)))</f>
        <v>9358416</v>
      </c>
      <c r="R4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4" t="str">
        <f ca="1">IF(KENKO[[#This Row],[//]]="","",INDEX([6]!NOTA[NAMA BARANG],KENKO[[#This Row],[//]]-2))</f>
        <v>KENKO GEL PEN EASY GEL BLACK</v>
      </c>
      <c r="V45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45" s="4" t="s">
        <v>137</v>
      </c>
      <c r="X45" s="4" t="str">
        <f ca="1">IF(KENKO[[#This Row],[N.B.nota]]="","",ADDRESS(ROW(KENKO[QB]),COLUMN(KENKO[QB]))&amp;":"&amp;ADDRESS(ROW(),COLUMN(KENKO[QB])))</f>
        <v>$D$3:$D$45</v>
      </c>
      <c r="Y45" s="14" t="str">
        <f ca="1">IF(KENKO[[#This Row],[//]]="","",HYPERLINK("[..\\DB.xlsx]DB!e"&amp;MATCH(KENKO[[#This Row],[concat]],[4]!db[NB NOTA_C],0)+1,"&gt;"))</f>
        <v>&gt;</v>
      </c>
    </row>
    <row r="46" spans="1:25" x14ac:dyDescent="0.25">
      <c r="A46" s="4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NOTA]]="","",HYPERLINK("[NOTA_.xlsx]NOTA!e"&amp;INDEX([6]!PAJAK[//],MATCH(KENKO[[#This Row],[ID NOTA]],[6]!PAJAK[ID],0)),"&gt;")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220</v>
      </c>
      <c r="F46" s="6" t="str">
        <f>IF(KENKO[[#This Row],[NO. NOTA]]="","",INDEX([5]KE!$A:$A,MATCH(KENKO[[#This Row],[NO. NOTA]],[5]KE!$D:$D,0)))</f>
        <v/>
      </c>
      <c r="G46" s="3" t="str">
        <f>IF(KENKO[[#This Row],[ID NOTA]]="","",INDEX([6]!NOTA[TGL_H],MATCH(KENKO[[#This Row],[ID NOTA]],[6]!NOTA[ID],0)))</f>
        <v/>
      </c>
      <c r="H46" s="3" t="str">
        <f>IF(KENKO[[#This Row],[ID NOTA]]="","",INDEX([6]!NOTA[TGL.NOTA],MATCH(KENKO[[#This Row],[ID NOTA]],[6]!NOTA[ID],0)))</f>
        <v/>
      </c>
      <c r="I46" s="19" t="str">
        <f>IF(KENKO[[#This Row],[ID NOTA]]="","",INDEX([6]!NOTA[NO.NOTA],MATCH(KENKO[[#This Row],[ID NOTA]],[6]!NOTA[ID],0)))</f>
        <v/>
      </c>
      <c r="J46" s="4" t="s">
        <v>187</v>
      </c>
      <c r="K46" s="6" t="str">
        <f>""</f>
        <v/>
      </c>
      <c r="L46" s="6">
        <f ca="1">IF(KENKO[//]="","",IF(INDEX([6]!NOTA[QTY],KENKO[//]-2)="",INDEX([6]!NOTA[C],KENKO[//]-2),INDEX([6]!NOTA[QTY],KENKO[//]-2)))</f>
        <v>1</v>
      </c>
      <c r="M46" s="6" t="str">
        <f ca="1">IF(KENKO[//]="","",IF(INDEX([6]!NOTA[STN],KENKO[//]-2)="","CTN",INDEX([6]!NOTA[STN],KENKO[//]-2)))</f>
        <v>CTN</v>
      </c>
      <c r="N46" s="5">
        <f ca="1">IF(KENKO[[#This Row],[//]]="","",IF(INDEX([6]!NOTA[HARGA/ CTN],KENKO[[#This Row],[//]]-2)="",INDEX([6]!NOTA[HARGA SATUAN],KENKO[//]-2),INDEX([6]!NOTA[HARGA/ CTN],KENKO[[#This Row],[//]]-2)))</f>
        <v>2160000</v>
      </c>
      <c r="O46" s="8">
        <f ca="1">IF(KENKO[[#This Row],[//]]="","",INDEX([6]!NOTA[DISC 1],KENKO[[#This Row],[//]]-2))</f>
        <v>0.17</v>
      </c>
      <c r="P46" s="8">
        <f ca="1">IF(KENKO[[#This Row],[//]]="","",INDEX([6]!NOTA[DISC 2],KENKO[[#This Row],[//]]-2))</f>
        <v>0</v>
      </c>
      <c r="Q46" s="5">
        <f ca="1">IF(KENKO[[#This Row],[//]]="","",INDEX([6]!NOTA[JUMLAH],KENKO[[#This Row],[//]]-2)*(100%-IF(ISNUMBER(KENKO[[#This Row],[DISC 1 (%)]]),KENKO[[#This Row],[DISC 1 (%)]],0)))</f>
        <v>1792800</v>
      </c>
      <c r="R4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5390292</v>
      </c>
      <c r="S4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26317308</v>
      </c>
      <c r="T4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4" t="str">
        <f ca="1">IF(KENKO[[#This Row],[//]]="","",INDEX([6]!NOTA[NAMA BARANG],KENKO[[#This Row],[//]]-2))</f>
        <v>KENKO GEL PEN REFILL EASY GEL/KE-SERIES BLACK</v>
      </c>
      <c r="V46" s="4" t="str">
        <f ca="1">LOWER(SUBSTITUTE(SUBSTITUTE(SUBSTITUTE(SUBSTITUTE(SUBSTITUTE(SUBSTITUTE(SUBSTITUTE(SUBSTITUTE(KENKO[[#This Row],[N.B.nota]]," ",""),"-",""),"(",""),")",""),".",""),",",""),"/",""),"""",""))</f>
        <v>kenkogelpenrefilleasygelkeseriesblack</v>
      </c>
      <c r="W46" s="4" t="s">
        <v>137</v>
      </c>
      <c r="X46" s="4" t="str">
        <f ca="1">IF(KENKO[[#This Row],[N.B.nota]]="","",ADDRESS(ROW(KENKO[QB]),COLUMN(KENKO[QB]))&amp;":"&amp;ADDRESS(ROW(),COLUMN(KENKO[QB])))</f>
        <v>$D$3:$D$46</v>
      </c>
      <c r="Y46" s="14" t="str">
        <f ca="1">IF(KENKO[[#This Row],[//]]="","",HYPERLINK("[..\\DB.xlsx]DB!e"&amp;MATCH(KENKO[[#This Row],[concat]],[4]!db[NB NOTA_C],0)+1,"&gt;"))</f>
        <v>&gt;</v>
      </c>
    </row>
    <row r="47" spans="1:25" x14ac:dyDescent="0.25">
      <c r="A47" s="4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NOTA]]="","",HYPERLINK("[NOTA_.xlsx]NOTA!e"&amp;INDEX([6]!PAJAK[//],MATCH(KENKO[[#This Row],[ID NOTA]],[6]!PAJAK[ID],0)),"&gt;") )</f>
        <v/>
      </c>
      <c r="D47" s="6" t="str">
        <f>IF(KENKO[[#This Row],[ID NOTA]]="","",INDEX(Table1[QB],MATCH(KENKO[[#This Row],[ID NOTA]],Table1[ID],0)))</f>
        <v/>
      </c>
      <c r="E4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" s="6" t="str">
        <f>IF(KENKO[[#This Row],[NO. NOTA]]="","",INDEX([5]KE!$A:$A,MATCH(KENKO[[#This Row],[NO. NOTA]],[5]KE!$D:$D,0)))</f>
        <v/>
      </c>
      <c r="G47" s="3" t="str">
        <f>IF(KENKO[[#This Row],[ID NOTA]]="","",INDEX([6]!NOTA[TGL_H],MATCH(KENKO[[#This Row],[ID NOTA]],[6]!NOTA[ID],0)))</f>
        <v/>
      </c>
      <c r="H47" s="3" t="str">
        <f>IF(KENKO[[#This Row],[ID NOTA]]="","",INDEX([6]!NOTA[TGL.NOTA],MATCH(KENKO[[#This Row],[ID NOTA]],[6]!NOTA[ID],0)))</f>
        <v/>
      </c>
      <c r="I47" s="19" t="str">
        <f>IF(KENKO[[#This Row],[ID NOTA]]="","",INDEX([6]!NOTA[NO.NOTA],MATCH(KENKO[[#This Row],[ID NOTA]],[6]!NOTA[ID],0)))</f>
        <v/>
      </c>
      <c r="J47" s="4" t="s">
        <v>136</v>
      </c>
      <c r="K47" s="6" t="str">
        <f>""</f>
        <v/>
      </c>
      <c r="L47" s="6" t="str">
        <f ca="1">IF(KENKO[//]="","",IF(INDEX([6]!NOTA[QTY],KENKO[//]-2)="",INDEX([6]!NOTA[C],KENKO[//]-2),INDEX([6]!NOTA[QTY],KENKO[//]-2)))</f>
        <v/>
      </c>
      <c r="M47" s="6" t="str">
        <f ca="1">IF(KENKO[//]="","",IF(INDEX([6]!NOTA[STN],KENKO[//]-2)="","CTN",INDEX([6]!NOTA[STN],KENKO[//]-2)))</f>
        <v/>
      </c>
      <c r="N47" s="5" t="str">
        <f ca="1">IF(KENKO[[#This Row],[//]]="","",IF(INDEX([6]!NOTA[HARGA/ CTN],KENKO[[#This Row],[//]]-2)="",INDEX([6]!NOTA[HARGA SATUAN],KENKO[//]-2),INDEX([6]!NOTA[HARGA/ CTN],KENKO[[#This Row],[//]]-2)))</f>
        <v/>
      </c>
      <c r="O47" s="8" t="str">
        <f ca="1">IF(KENKO[[#This Row],[//]]="","",INDEX([6]!NOTA[DISC 1],KENKO[[#This Row],[//]]-2))</f>
        <v/>
      </c>
      <c r="P47" s="8" t="str">
        <f ca="1">IF(KENKO[[#This Row],[//]]="","",INDEX([6]!NOTA[DISC 2],KENKO[[#This Row],[//]]-2))</f>
        <v/>
      </c>
      <c r="Q47" s="5" t="str">
        <f ca="1">IF(KENKO[[#This Row],[//]]="","",INDEX([6]!NOTA[JUMLAH],KENKO[[#This Row],[//]]-2)*(100%-IF(ISNUMBER(KENKO[[#This Row],[DISC 1 (%)]]),KENKO[[#This Row],[DISC 1 (%)]],0)))</f>
        <v/>
      </c>
      <c r="R4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4" t="str">
        <f ca="1">IF(KENKO[[#This Row],[//]]="","",INDEX([6]!NOTA[NAMA BARANG],KENKO[[#This Row],[//]]-2))</f>
        <v/>
      </c>
      <c r="V47" s="4" t="str">
        <f ca="1">LOWER(SUBSTITUTE(SUBSTITUTE(SUBSTITUTE(SUBSTITUTE(SUBSTITUTE(SUBSTITUTE(SUBSTITUTE(SUBSTITUTE(KENKO[[#This Row],[N.B.nota]]," ",""),"-",""),"(",""),")",""),".",""),",",""),"/",""),"""",""))</f>
        <v/>
      </c>
      <c r="W47" s="4" t="s">
        <v>136</v>
      </c>
      <c r="X47" s="4" t="str">
        <f ca="1">IF(KENKO[[#This Row],[N.B.nota]]="","",ADDRESS(ROW(KENKO[QB]),COLUMN(KENKO[QB]))&amp;":"&amp;ADDRESS(ROW(),COLUMN(KENKO[QB])))</f>
        <v/>
      </c>
      <c r="Y47" s="14" t="str">
        <f ca="1">IF(KENKO[[#This Row],[//]]="","",HYPERLINK("[..\\DB.xlsx]DB!e"&amp;MATCH(KENKO[[#This Row],[concat]],[4]!db[NB NOTA_C],0)+1,"&gt;"))</f>
        <v/>
      </c>
    </row>
    <row r="48" spans="1:25" x14ac:dyDescent="0.25">
      <c r="A48" s="4" t="s">
        <v>53</v>
      </c>
      <c r="B48" s="6">
        <f ca="1">IF(KENKO[[#This Row],[N_ID]]="","",INDEX(Table1[ID],MATCH(KENKO[[#This Row],[N_ID]],Table1[N_ID],0)))</f>
        <v>45</v>
      </c>
      <c r="C48" s="6" t="str">
        <f ca="1">IF(KENKO[[#This Row],[ID NOTA]]="","",HYPERLINK("[NOTA_.xlsx]NOTA!e"&amp;INDEX([6]!PAJAK[//],MATCH(KENKO[[#This Row],[ID NOTA]],[6]!PAJAK[ID],0)),"&gt;") )</f>
        <v>&gt;</v>
      </c>
      <c r="D48" s="6">
        <f ca="1">IF(KENKO[[#This Row],[ID NOTA]]="","",INDEX(Table1[QB],MATCH(KENKO[[#This Row],[ID NOTA]],Table1[ID],0)))</f>
        <v>7</v>
      </c>
      <c r="E4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222</v>
      </c>
      <c r="F48" s="6" t="e">
        <f ca="1">IF(KENKO[[#This Row],[NO. NOTA]]="","",INDEX([5]KE!$A:$A,MATCH(KENKO[[#This Row],[NO. NOTA]],[5]KE!$D:$D,0)))</f>
        <v>#N/A</v>
      </c>
      <c r="G48" s="3">
        <f ca="1">IF(KENKO[[#This Row],[ID NOTA]]="","",INDEX([6]!NOTA[TGL_H],MATCH(KENKO[[#This Row],[ID NOTA]],[6]!NOTA[ID],0)))</f>
        <v>44753</v>
      </c>
      <c r="H48" s="3">
        <f ca="1">IF(KENKO[[#This Row],[ID NOTA]]="","",INDEX([6]!NOTA[TGL.NOTA],MATCH(KENKO[[#This Row],[ID NOTA]],[6]!NOTA[ID],0)))</f>
        <v>44749</v>
      </c>
      <c r="I48" s="19">
        <f ca="1">IF(KENKO[[#This Row],[ID NOTA]]="","",INDEX([6]!NOTA[NO.NOTA],MATCH(KENKO[[#This Row],[ID NOTA]],[6]!NOTA[ID],0)))</f>
        <v>22070607</v>
      </c>
      <c r="J48" s="4" t="s">
        <v>188</v>
      </c>
      <c r="K48" s="6" t="str">
        <f>""</f>
        <v/>
      </c>
      <c r="L48" s="6">
        <f ca="1">IF(KENKO[//]="","",IF(INDEX([6]!NOTA[QTY],KENKO[//]-2)="",INDEX([6]!NOTA[C],KENKO[//]-2),INDEX([6]!NOTA[QTY],KENKO[//]-2)))</f>
        <v>2</v>
      </c>
      <c r="M48" s="6" t="str">
        <f ca="1">IF(KENKO[//]="","",IF(INDEX([6]!NOTA[STN],KENKO[//]-2)="","CTN",INDEX([6]!NOTA[STN],KENKO[//]-2)))</f>
        <v>CTN</v>
      </c>
      <c r="N48" s="5">
        <f ca="1">IF(KENKO[[#This Row],[//]]="","",IF(INDEX([6]!NOTA[HARGA/ CTN],KENKO[[#This Row],[//]]-2)="",INDEX([6]!NOTA[HARGA SATUAN],KENKO[//]-2),INDEX([6]!NOTA[HARGA/ CTN],KENKO[[#This Row],[//]]-2)))</f>
        <v>1500000</v>
      </c>
      <c r="O48" s="8">
        <f ca="1">IF(KENKO[[#This Row],[//]]="","",INDEX([6]!NOTA[DISC 1],KENKO[[#This Row],[//]]-2))</f>
        <v>0.17</v>
      </c>
      <c r="P48" s="8">
        <f ca="1">IF(KENKO[[#This Row],[//]]="","",INDEX([6]!NOTA[DISC 2],KENKO[[#This Row],[//]]-2))</f>
        <v>0</v>
      </c>
      <c r="Q48" s="5">
        <f ca="1">IF(KENKO[[#This Row],[//]]="","",INDEX([6]!NOTA[JUMLAH],KENKO[[#This Row],[//]]-2)*(100%-IF(ISNUMBER(KENKO[[#This Row],[DISC 1 (%)]]),KENKO[[#This Row],[DISC 1 (%)]],0)))</f>
        <v>2490000</v>
      </c>
      <c r="R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4" t="str">
        <f ca="1">IF(KENKO[[#This Row],[//]]="","",INDEX([6]!NOTA[NAMA BARANG],KENKO[[#This Row],[//]]-2))</f>
        <v>KENKO ERASER ERW-20SQ WHITE</v>
      </c>
      <c r="V48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48" s="4" t="s">
        <v>137</v>
      </c>
      <c r="X48" s="4" t="str">
        <f ca="1">IF(KENKO[[#This Row],[N.B.nota]]="","",ADDRESS(ROW(KENKO[QB]),COLUMN(KENKO[QB]))&amp;":"&amp;ADDRESS(ROW(),COLUMN(KENKO[QB])))</f>
        <v>$D$3:$D$48</v>
      </c>
      <c r="Y48" s="14" t="str">
        <f ca="1">IF(KENKO[[#This Row],[//]]="","",HYPERLINK("[..\\DB.xlsx]DB!e"&amp;MATCH(KENKO[[#This Row],[concat]],[4]!db[NB NOTA_C],0)+1,"&gt;"))</f>
        <v>&gt;</v>
      </c>
    </row>
    <row r="49" spans="1:25" x14ac:dyDescent="0.25">
      <c r="A49" s="4"/>
      <c r="B49" s="6" t="str">
        <f>IF(KENKO[[#This Row],[N_ID]]="","",INDEX(Table1[ID],MATCH(KENKO[[#This Row],[N_ID]],Table1[N_ID],0)))</f>
        <v/>
      </c>
      <c r="C49" s="6" t="str">
        <f>IF(KENKO[[#This Row],[ID NOTA]]="","",HYPERLINK("[NOTA_.xlsx]NOTA!e"&amp;INDEX([6]!PAJAK[//],MATCH(KENKO[[#This Row],[ID NOTA]],[6]!PAJAK[ID],0)),"&gt;") )</f>
        <v/>
      </c>
      <c r="D49" s="6" t="str">
        <f>IF(KENKO[[#This Row],[ID NOTA]]="","",INDEX(Table1[QB],MATCH(KENKO[[#This Row],[ID NOTA]],Table1[ID],0)))</f>
        <v/>
      </c>
      <c r="E4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223</v>
      </c>
      <c r="F49" s="6" t="str">
        <f>IF(KENKO[[#This Row],[NO. NOTA]]="","",INDEX([5]KE!$A:$A,MATCH(KENKO[[#This Row],[NO. NOTA]],[5]KE!$D:$D,0)))</f>
        <v/>
      </c>
      <c r="G49" s="3" t="str">
        <f>IF(KENKO[[#This Row],[ID NOTA]]="","",INDEX([6]!NOTA[TGL_H],MATCH(KENKO[[#This Row],[ID NOTA]],[6]!NOTA[ID],0)))</f>
        <v/>
      </c>
      <c r="H49" s="3" t="str">
        <f>IF(KENKO[[#This Row],[ID NOTA]]="","",INDEX([6]!NOTA[TGL.NOTA],MATCH(KENKO[[#This Row],[ID NOTA]],[6]!NOTA[ID],0)))</f>
        <v/>
      </c>
      <c r="I49" s="19" t="str">
        <f>IF(KENKO[[#This Row],[ID NOTA]]="","",INDEX([6]!NOTA[NO.NOTA],MATCH(KENKO[[#This Row],[ID NOTA]],[6]!NOTA[ID],0)))</f>
        <v/>
      </c>
      <c r="J49" s="4" t="s">
        <v>189</v>
      </c>
      <c r="K49" s="6" t="str">
        <f>""</f>
        <v/>
      </c>
      <c r="L49" s="6">
        <f ca="1">IF(KENKO[//]="","",IF(INDEX([6]!NOTA[QTY],KENKO[//]-2)="",INDEX([6]!NOTA[C],KENKO[//]-2),INDEX([6]!NOTA[QTY],KENKO[//]-2)))</f>
        <v>1</v>
      </c>
      <c r="M49" s="6" t="str">
        <f ca="1">IF(KENKO[//]="","",IF(INDEX([6]!NOTA[STN],KENKO[//]-2)="","CTN",INDEX([6]!NOTA[STN],KENKO[//]-2)))</f>
        <v>CTN</v>
      </c>
      <c r="N49" s="5">
        <f ca="1">IF(KENKO[[#This Row],[//]]="","",IF(INDEX([6]!NOTA[HARGA/ CTN],KENKO[[#This Row],[//]]-2)="",INDEX([6]!NOTA[HARGA SATUAN],KENKO[//]-2),INDEX([6]!NOTA[HARGA/ CTN],KENKO[[#This Row],[//]]-2)))</f>
        <v>1500000</v>
      </c>
      <c r="O49" s="8">
        <f ca="1">IF(KENKO[[#This Row],[//]]="","",INDEX([6]!NOTA[DISC 1],KENKO[[#This Row],[//]]-2))</f>
        <v>0.17</v>
      </c>
      <c r="P49" s="8">
        <f ca="1">IF(KENKO[[#This Row],[//]]="","",INDEX([6]!NOTA[DISC 2],KENKO[[#This Row],[//]]-2))</f>
        <v>0</v>
      </c>
      <c r="Q49" s="5">
        <f ca="1">IF(KENKO[[#This Row],[//]]="","",INDEX([6]!NOTA[JUMLAH],KENKO[[#This Row],[//]]-2)*(100%-IF(ISNUMBER(KENKO[[#This Row],[DISC 1 (%)]]),KENKO[[#This Row],[DISC 1 (%)]],0)))</f>
        <v>1245000</v>
      </c>
      <c r="R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4" t="str">
        <f ca="1">IF(KENKO[[#This Row],[//]]="","",INDEX([6]!NOTA[NAMA BARANG],KENKO[[#This Row],[//]]-2))</f>
        <v>KENKO ERASER ERB-20SQ BLACK</v>
      </c>
      <c r="V49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49" s="4" t="s">
        <v>137</v>
      </c>
      <c r="X49" s="4" t="str">
        <f ca="1">IF(KENKO[[#This Row],[N.B.nota]]="","",ADDRESS(ROW(KENKO[QB]),COLUMN(KENKO[QB]))&amp;":"&amp;ADDRESS(ROW(),COLUMN(KENKO[QB])))</f>
        <v>$D$3:$D$49</v>
      </c>
      <c r="Y49" s="14" t="str">
        <f ca="1">IF(KENKO[[#This Row],[//]]="","",HYPERLINK("[..\\DB.xlsx]DB!e"&amp;MATCH(KENKO[[#This Row],[concat]],[4]!db[NB NOTA_C],0)+1,"&gt;"))</f>
        <v>&gt;</v>
      </c>
    </row>
    <row r="50" spans="1:25" x14ac:dyDescent="0.25">
      <c r="A50" s="4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NOTA]]="","",HYPERLINK("[NOTA_.xlsx]NOTA!e"&amp;INDEX([6]!PAJAK[//],MATCH(KENKO[[#This Row],[ID NOTA]],[6]!PAJAK[ID],0)),"&gt;")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224</v>
      </c>
      <c r="F50" s="6" t="str">
        <f>IF(KENKO[[#This Row],[NO. NOTA]]="","",INDEX([5]KE!$A:$A,MATCH(KENKO[[#This Row],[NO. NOTA]],[5]KE!$D:$D,0)))</f>
        <v/>
      </c>
      <c r="G50" s="3" t="str">
        <f>IF(KENKO[[#This Row],[ID NOTA]]="","",INDEX([6]!NOTA[TGL_H],MATCH(KENKO[[#This Row],[ID NOTA]],[6]!NOTA[ID],0)))</f>
        <v/>
      </c>
      <c r="H50" s="3" t="str">
        <f>IF(KENKO[[#This Row],[ID NOTA]]="","",INDEX([6]!NOTA[TGL.NOTA],MATCH(KENKO[[#This Row],[ID NOTA]],[6]!NOTA[ID],0)))</f>
        <v/>
      </c>
      <c r="I50" s="19" t="str">
        <f>IF(KENKO[[#This Row],[ID NOTA]]="","",INDEX([6]!NOTA[NO.NOTA],MATCH(KENKO[[#This Row],[ID NOTA]],[6]!NOTA[ID],0)))</f>
        <v/>
      </c>
      <c r="J50" s="4" t="s">
        <v>190</v>
      </c>
      <c r="K50" s="6" t="str">
        <f>""</f>
        <v/>
      </c>
      <c r="L50" s="6">
        <f ca="1">IF(KENKO[//]="","",IF(INDEX([6]!NOTA[QTY],KENKO[//]-2)="",INDEX([6]!NOTA[C],KENKO[//]-2),INDEX([6]!NOTA[QTY],KENKO[//]-2)))</f>
        <v>1</v>
      </c>
      <c r="M50" s="6" t="str">
        <f ca="1">IF(KENKO[//]="","",IF(INDEX([6]!NOTA[STN],KENKO[//]-2)="","CTN",INDEX([6]!NOTA[STN],KENKO[//]-2)))</f>
        <v>CTN</v>
      </c>
      <c r="N50" s="5">
        <f ca="1">IF(KENKO[[#This Row],[//]]="","",IF(INDEX([6]!NOTA[HARGA/ CTN],KENKO[[#This Row],[//]]-2)="",INDEX([6]!NOTA[HARGA SATUAN],KENKO[//]-2),INDEX([6]!NOTA[HARGA/ CTN],KENKO[[#This Row],[//]]-2)))</f>
        <v>1900800</v>
      </c>
      <c r="O50" s="8">
        <f ca="1">IF(KENKO[[#This Row],[//]]="","",INDEX([6]!NOTA[DISC 1],KENKO[[#This Row],[//]]-2))</f>
        <v>0.17</v>
      </c>
      <c r="P50" s="8">
        <f ca="1">IF(KENKO[[#This Row],[//]]="","",INDEX([6]!NOTA[DISC 2],KENKO[[#This Row],[//]]-2))</f>
        <v>0</v>
      </c>
      <c r="Q50" s="5">
        <f ca="1">IF(KENKO[[#This Row],[//]]="","",INDEX([6]!NOTA[JUMLAH],KENKO[[#This Row],[//]]-2)*(100%-IF(ISNUMBER(KENKO[[#This Row],[DISC 1 (%)]]),KENKO[[#This Row],[DISC 1 (%)]],0)))</f>
        <v>1577664</v>
      </c>
      <c r="R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4" t="str">
        <f ca="1">IF(KENKO[[#This Row],[//]]="","",INDEX([6]!NOTA[NAMA BARANG],KENKO[[#This Row],[//]]-2))</f>
        <v>KENKO CORRECTION FLUID UR-01</v>
      </c>
      <c r="V50" s="4" t="str">
        <f ca="1">LOWER(SUBSTITUTE(SUBSTITUTE(SUBSTITUTE(SUBSTITUTE(SUBSTITUTE(SUBSTITUTE(SUBSTITUTE(SUBSTITUTE(KENKO[[#This Row],[N.B.nota]]," ",""),"-",""),"(",""),")",""),".",""),",",""),"/",""),"""",""))</f>
        <v>kenkocorrectionfluidur01</v>
      </c>
      <c r="W50" s="4" t="s">
        <v>137</v>
      </c>
      <c r="X50" s="4" t="str">
        <f ca="1">IF(KENKO[[#This Row],[N.B.nota]]="","",ADDRESS(ROW(KENKO[QB]),COLUMN(KENKO[QB]))&amp;":"&amp;ADDRESS(ROW(),COLUMN(KENKO[QB])))</f>
        <v>$D$3:$D$50</v>
      </c>
      <c r="Y50" s="14" t="str">
        <f ca="1">IF(KENKO[[#This Row],[//]]="","",HYPERLINK("[..\\DB.xlsx]DB!e"&amp;MATCH(KENKO[[#This Row],[concat]],[4]!db[NB NOTA_C],0)+1,"&gt;"))</f>
        <v>&gt;</v>
      </c>
    </row>
    <row r="51" spans="1:25" x14ac:dyDescent="0.25">
      <c r="A51" s="4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NOTA]]="","",HYPERLINK("[NOTA_.xlsx]NOTA!e"&amp;INDEX([6]!PAJAK[//],MATCH(KENKO[[#This Row],[ID NOTA]],[6]!PAJAK[ID],0)),"&gt;")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225</v>
      </c>
      <c r="F51" s="6" t="str">
        <f>IF(KENKO[[#This Row],[NO. NOTA]]="","",INDEX([5]KE!$A:$A,MATCH(KENKO[[#This Row],[NO. NOTA]],[5]KE!$D:$D,0)))</f>
        <v/>
      </c>
      <c r="G51" s="3" t="str">
        <f>IF(KENKO[[#This Row],[ID NOTA]]="","",INDEX([6]!NOTA[TGL_H],MATCH(KENKO[[#This Row],[ID NOTA]],[6]!NOTA[ID],0)))</f>
        <v/>
      </c>
      <c r="H51" s="3" t="str">
        <f>IF(KENKO[[#This Row],[ID NOTA]]="","",INDEX([6]!NOTA[TGL.NOTA],MATCH(KENKO[[#This Row],[ID NOTA]],[6]!NOTA[ID],0)))</f>
        <v/>
      </c>
      <c r="I51" s="19" t="str">
        <f>IF(KENKO[[#This Row],[ID NOTA]]="","",INDEX([6]!NOTA[NO.NOTA],MATCH(KENKO[[#This Row],[ID NOTA]],[6]!NOTA[ID],0)))</f>
        <v/>
      </c>
      <c r="J51" s="4" t="s">
        <v>191</v>
      </c>
      <c r="K51" s="6" t="str">
        <f>""</f>
        <v/>
      </c>
      <c r="L51" s="6">
        <f ca="1">IF(KENKO[//]="","",IF(INDEX([6]!NOTA[QTY],KENKO[//]-2)="",INDEX([6]!NOTA[C],KENKO[//]-2),INDEX([6]!NOTA[QTY],KENKO[//]-2)))</f>
        <v>1</v>
      </c>
      <c r="M51" s="6" t="str">
        <f ca="1">IF(KENKO[//]="","",IF(INDEX([6]!NOTA[STN],KENKO[//]-2)="","CTN",INDEX([6]!NOTA[STN],KENKO[//]-2)))</f>
        <v>CTN</v>
      </c>
      <c r="N51" s="5">
        <f ca="1">IF(KENKO[[#This Row],[//]]="","",IF(INDEX([6]!NOTA[HARGA/ CTN],KENKO[[#This Row],[//]]-2)="",INDEX([6]!NOTA[HARGA SATUAN],KENKO[//]-2),INDEX([6]!NOTA[HARGA/ CTN],KENKO[[#This Row],[//]]-2)))</f>
        <v>729600</v>
      </c>
      <c r="O51" s="8">
        <f ca="1">IF(KENKO[[#This Row],[//]]="","",INDEX([6]!NOTA[DISC 1],KENKO[[#This Row],[//]]-2))</f>
        <v>0.17</v>
      </c>
      <c r="P51" s="8">
        <f ca="1">IF(KENKO[[#This Row],[//]]="","",INDEX([6]!NOTA[DISC 2],KENKO[[#This Row],[//]]-2))</f>
        <v>0</v>
      </c>
      <c r="Q51" s="5">
        <f ca="1">IF(KENKO[[#This Row],[//]]="","",INDEX([6]!NOTA[JUMLAH],KENKO[[#This Row],[//]]-2)*(100%-IF(ISNUMBER(KENKO[[#This Row],[DISC 1 (%)]]),KENKO[[#This Row],[DISC 1 (%)]],0)))</f>
        <v>605568</v>
      </c>
      <c r="R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4" t="str">
        <f ca="1">IF(KENKO[[#This Row],[//]]="","",INDEX([6]!NOTA[NAMA BARANG],KENKO[[#This Row],[//]]-2))</f>
        <v>KENKO LOOSE LEAF A5-LL 50-2070</v>
      </c>
      <c r="V51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1" s="4" t="s">
        <v>137</v>
      </c>
      <c r="X51" s="4" t="str">
        <f ca="1">IF(KENKO[[#This Row],[N.B.nota]]="","",ADDRESS(ROW(KENKO[QB]),COLUMN(KENKO[QB]))&amp;":"&amp;ADDRESS(ROW(),COLUMN(KENKO[QB])))</f>
        <v>$D$3:$D$51</v>
      </c>
      <c r="Y51" s="14" t="str">
        <f ca="1">IF(KENKO[[#This Row],[//]]="","",HYPERLINK("[..\\DB.xlsx]DB!e"&amp;MATCH(KENKO[[#This Row],[concat]],[4]!db[NB NOTA_C],0)+1,"&gt;"))</f>
        <v>&gt;</v>
      </c>
    </row>
    <row r="52" spans="1:25" x14ac:dyDescent="0.25">
      <c r="A52" s="4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NOTA]]="","",HYPERLINK("[NOTA_.xlsx]NOTA!e"&amp;INDEX([6]!PAJAK[//],MATCH(KENKO[[#This Row],[ID NOTA]],[6]!PAJAK[ID],0)),"&gt;")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226</v>
      </c>
      <c r="F52" s="6" t="str">
        <f>IF(KENKO[[#This Row],[NO. NOTA]]="","",INDEX([5]KE!$A:$A,MATCH(KENKO[[#This Row],[NO. NOTA]],[5]KE!$D:$D,0)))</f>
        <v/>
      </c>
      <c r="G52" s="3" t="str">
        <f>IF(KENKO[[#This Row],[ID NOTA]]="","",INDEX([6]!NOTA[TGL_H],MATCH(KENKO[[#This Row],[ID NOTA]],[6]!NOTA[ID],0)))</f>
        <v/>
      </c>
      <c r="H52" s="3" t="str">
        <f>IF(KENKO[[#This Row],[ID NOTA]]="","",INDEX([6]!NOTA[TGL.NOTA],MATCH(KENKO[[#This Row],[ID NOTA]],[6]!NOTA[ID],0)))</f>
        <v/>
      </c>
      <c r="I52" s="19" t="str">
        <f>IF(KENKO[[#This Row],[ID NOTA]]="","",INDEX([6]!NOTA[NO.NOTA],MATCH(KENKO[[#This Row],[ID NOTA]],[6]!NOTA[ID],0)))</f>
        <v/>
      </c>
      <c r="J52" s="4" t="s">
        <v>192</v>
      </c>
      <c r="K52" s="6" t="str">
        <f>""</f>
        <v/>
      </c>
      <c r="L52" s="6">
        <f ca="1">IF(KENKO[//]="","",IF(INDEX([6]!NOTA[QTY],KENKO[//]-2)="",INDEX([6]!NOTA[C],KENKO[//]-2),INDEX([6]!NOTA[QTY],KENKO[//]-2)))</f>
        <v>1</v>
      </c>
      <c r="M52" s="6" t="str">
        <f ca="1">IF(KENKO[//]="","",IF(INDEX([6]!NOTA[STN],KENKO[//]-2)="","CTN",INDEX([6]!NOTA[STN],KENKO[//]-2)))</f>
        <v>CTN</v>
      </c>
      <c r="N52" s="5">
        <f ca="1">IF(KENKO[[#This Row],[//]]="","",IF(INDEX([6]!NOTA[HARGA/ CTN],KENKO[[#This Row],[//]]-2)="",INDEX([6]!NOTA[HARGA SATUAN],KENKO[//]-2),INDEX([6]!NOTA[HARGA/ CTN],KENKO[[#This Row],[//]]-2)))</f>
        <v>700800</v>
      </c>
      <c r="O52" s="8">
        <f ca="1">IF(KENKO[[#This Row],[//]]="","",INDEX([6]!NOTA[DISC 1],KENKO[[#This Row],[//]]-2))</f>
        <v>0.17</v>
      </c>
      <c r="P52" s="8">
        <f ca="1">IF(KENKO[[#This Row],[//]]="","",INDEX([6]!NOTA[DISC 2],KENKO[[#This Row],[//]]-2))</f>
        <v>0</v>
      </c>
      <c r="Q52" s="5">
        <f ca="1">IF(KENKO[[#This Row],[//]]="","",INDEX([6]!NOTA[JUMLAH],KENKO[[#This Row],[//]]-2)*(100%-IF(ISNUMBER(KENKO[[#This Row],[DISC 1 (%)]]),KENKO[[#This Row],[DISC 1 (%)]],0)))</f>
        <v>581664</v>
      </c>
      <c r="R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4" t="str">
        <f ca="1">IF(KENKO[[#This Row],[//]]="","",INDEX([6]!NOTA[NAMA BARANG],KENKO[[#This Row],[//]]-2))</f>
        <v>KENKO LOOSE LEAF A5-LL 100-2070</v>
      </c>
      <c r="V52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52" s="4" t="s">
        <v>137</v>
      </c>
      <c r="X52" s="4" t="str">
        <f ca="1">IF(KENKO[[#This Row],[N.B.nota]]="","",ADDRESS(ROW(KENKO[QB]),COLUMN(KENKO[QB]))&amp;":"&amp;ADDRESS(ROW(),COLUMN(KENKO[QB])))</f>
        <v>$D$3:$D$52</v>
      </c>
      <c r="Y52" s="14" t="str">
        <f ca="1">IF(KENKO[[#This Row],[//]]="","",HYPERLINK("[..\\DB.xlsx]DB!e"&amp;MATCH(KENKO[[#This Row],[concat]],[4]!db[NB NOTA_C],0)+1,"&gt;"))</f>
        <v>&gt;</v>
      </c>
    </row>
    <row r="53" spans="1:25" x14ac:dyDescent="0.25">
      <c r="A53" s="4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NOTA]]="","",HYPERLINK("[NOTA_.xlsx]NOTA!e"&amp;INDEX([6]!PAJAK[//],MATCH(KENKO[[#This Row],[ID NOTA]],[6]!PAJAK[ID],0)),"&gt;") )</f>
        <v/>
      </c>
      <c r="D53" s="6" t="str">
        <f>IF(KENKO[[#This Row],[ID NOTA]]="","",INDEX(Table1[QB],MATCH(KENKO[[#This Row],[ID NOTA]],Table1[ID],0)))</f>
        <v/>
      </c>
      <c r="E5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227</v>
      </c>
      <c r="F53" s="6" t="str">
        <f>IF(KENKO[[#This Row],[NO. NOTA]]="","",INDEX([5]KE!$A:$A,MATCH(KENKO[[#This Row],[NO. NOTA]],[5]KE!$D:$D,0)))</f>
        <v/>
      </c>
      <c r="G53" s="3" t="str">
        <f>IF(KENKO[[#This Row],[ID NOTA]]="","",INDEX([6]!NOTA[TGL_H],MATCH(KENKO[[#This Row],[ID NOTA]],[6]!NOTA[ID],0)))</f>
        <v/>
      </c>
      <c r="H53" s="3" t="str">
        <f>IF(KENKO[[#This Row],[ID NOTA]]="","",INDEX([6]!NOTA[TGL.NOTA],MATCH(KENKO[[#This Row],[ID NOTA]],[6]!NOTA[ID],0)))</f>
        <v/>
      </c>
      <c r="I53" s="19" t="str">
        <f>IF(KENKO[[#This Row],[ID NOTA]]="","",INDEX([6]!NOTA[NO.NOTA],MATCH(KENKO[[#This Row],[ID NOTA]],[6]!NOTA[ID],0)))</f>
        <v/>
      </c>
      <c r="J53" s="4" t="s">
        <v>180</v>
      </c>
      <c r="K53" s="6" t="str">
        <f>""</f>
        <v/>
      </c>
      <c r="L53" s="6">
        <f ca="1">IF(KENKO[//]="","",IF(INDEX([6]!NOTA[QTY],KENKO[//]-2)="",INDEX([6]!NOTA[C],KENKO[//]-2),INDEX([6]!NOTA[QTY],KENKO[//]-2)))</f>
        <v>6</v>
      </c>
      <c r="M53" s="6" t="str">
        <f ca="1">IF(KENKO[//]="","",IF(INDEX([6]!NOTA[STN],KENKO[//]-2)="","CTN",INDEX([6]!NOTA[STN],KENKO[//]-2)))</f>
        <v>CTN</v>
      </c>
      <c r="N53" s="5">
        <f ca="1">IF(KENKO[[#This Row],[//]]="","",IF(INDEX([6]!NOTA[HARGA/ CTN],KENKO[[#This Row],[//]]-2)="",INDEX([6]!NOTA[HARGA SATUAN],KENKO[//]-2),INDEX([6]!NOTA[HARGA/ CTN],KENKO[[#This Row],[//]]-2)))</f>
        <v>1740000</v>
      </c>
      <c r="O53" s="8">
        <f ca="1">IF(KENKO[[#This Row],[//]]="","",INDEX([6]!NOTA[DISC 1],KENKO[[#This Row],[//]]-2))</f>
        <v>0.17</v>
      </c>
      <c r="P53" s="8">
        <f ca="1">IF(KENKO[[#This Row],[//]]="","",INDEX([6]!NOTA[DISC 2],KENKO[[#This Row],[//]]-2))</f>
        <v>0</v>
      </c>
      <c r="Q53" s="5">
        <f ca="1">IF(KENKO[[#This Row],[//]]="","",INDEX([6]!NOTA[JUMLAH],KENKO[[#This Row],[//]]-2)*(100%-IF(ISNUMBER(KENKO[[#This Row],[DISC 1 (%)]]),KENKO[[#This Row],[DISC 1 (%)]],0)))</f>
        <v>8665200</v>
      </c>
      <c r="R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4" t="str">
        <f ca="1">IF(KENKO[[#This Row],[//]]="","",INDEX([6]!NOTA[NAMA BARANG],KENKO[[#This Row],[//]]-2))</f>
        <v>KENKO STAPLER HD-10</v>
      </c>
      <c r="V53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3" s="4" t="s">
        <v>137</v>
      </c>
      <c r="X53" s="4" t="str">
        <f ca="1">IF(KENKO[[#This Row],[N.B.nota]]="","",ADDRESS(ROW(KENKO[QB]),COLUMN(KENKO[QB]))&amp;":"&amp;ADDRESS(ROW(),COLUMN(KENKO[QB])))</f>
        <v>$D$3:$D$53</v>
      </c>
      <c r="Y53" s="14" t="str">
        <f ca="1">IF(KENKO[[#This Row],[//]]="","",HYPERLINK("[..\\DB.xlsx]DB!e"&amp;MATCH(KENKO[[#This Row],[concat]],[4]!db[NB NOTA_C],0)+1,"&gt;"))</f>
        <v>&gt;</v>
      </c>
    </row>
    <row r="54" spans="1:25" x14ac:dyDescent="0.25">
      <c r="A54" s="4"/>
      <c r="B54" s="6" t="str">
        <f>IF(KENKO[[#This Row],[N_ID]]="","",INDEX(Table1[ID],MATCH(KENKO[[#This Row],[N_ID]],Table1[N_ID],0)))</f>
        <v/>
      </c>
      <c r="C54" s="6" t="str">
        <f>IF(KENKO[[#This Row],[ID NOTA]]="","",HYPERLINK("[NOTA_.xlsx]NOTA!e"&amp;INDEX([6]!PAJAK[//],MATCH(KENKO[[#This Row],[ID NOTA]],[6]!PAJAK[ID],0)),"&gt;") )</f>
        <v/>
      </c>
      <c r="D54" s="6" t="str">
        <f>IF(KENKO[[#This Row],[ID NOTA]]="","",INDEX(Table1[QB],MATCH(KENKO[[#This Row],[ID NOTA]],Table1[ID],0)))</f>
        <v/>
      </c>
      <c r="E5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228</v>
      </c>
      <c r="F54" s="6" t="str">
        <f>IF(KENKO[[#This Row],[NO. NOTA]]="","",INDEX([5]KE!$A:$A,MATCH(KENKO[[#This Row],[NO. NOTA]],[5]KE!$D:$D,0)))</f>
        <v/>
      </c>
      <c r="G54" s="3" t="str">
        <f>IF(KENKO[[#This Row],[ID NOTA]]="","",INDEX([6]!NOTA[TGL_H],MATCH(KENKO[[#This Row],[ID NOTA]],[6]!NOTA[ID],0)))</f>
        <v/>
      </c>
      <c r="H54" s="3" t="str">
        <f>IF(KENKO[[#This Row],[ID NOTA]]="","",INDEX([6]!NOTA[TGL.NOTA],MATCH(KENKO[[#This Row],[ID NOTA]],[6]!NOTA[ID],0)))</f>
        <v/>
      </c>
      <c r="I54" s="19" t="str">
        <f>IF(KENKO[[#This Row],[ID NOTA]]="","",INDEX([6]!NOTA[NO.NOTA],MATCH(KENKO[[#This Row],[ID NOTA]],[6]!NOTA[ID],0)))</f>
        <v/>
      </c>
      <c r="J54" s="4" t="s">
        <v>171</v>
      </c>
      <c r="K54" s="6" t="str">
        <f>""</f>
        <v/>
      </c>
      <c r="L54" s="6">
        <f ca="1">IF(KENKO[//]="","",IF(INDEX([6]!NOTA[QTY],KENKO[//]-2)="",INDEX([6]!NOTA[C],KENKO[//]-2),INDEX([6]!NOTA[QTY],KENKO[//]-2)))</f>
        <v>2</v>
      </c>
      <c r="M54" s="6" t="str">
        <f ca="1">IF(KENKO[//]="","",IF(INDEX([6]!NOTA[STN],KENKO[//]-2)="","CTN",INDEX([6]!NOTA[STN],KENKO[//]-2)))</f>
        <v>CTN</v>
      </c>
      <c r="N54" s="5">
        <f ca="1">IF(KENKO[[#This Row],[//]]="","",IF(INDEX([6]!NOTA[HARGA/ CTN],KENKO[[#This Row],[//]]-2)="",INDEX([6]!NOTA[HARGA SATUAN],KENKO[//]-2),INDEX([6]!NOTA[HARGA/ CTN],KENKO[[#This Row],[//]]-2)))</f>
        <v>2250000</v>
      </c>
      <c r="O54" s="8">
        <f ca="1">IF(KENKO[[#This Row],[//]]="","",INDEX([6]!NOTA[DISC 1],KENKO[[#This Row],[//]]-2))</f>
        <v>0.17</v>
      </c>
      <c r="P54" s="8">
        <f ca="1">IF(KENKO[[#This Row],[//]]="","",INDEX([6]!NOTA[DISC 2],KENKO[[#This Row],[//]]-2))</f>
        <v>0</v>
      </c>
      <c r="Q54" s="5">
        <f ca="1">IF(KENKO[[#This Row],[//]]="","",INDEX([6]!NOTA[JUMLAH],KENKO[[#This Row],[//]]-2)*(100%-IF(ISNUMBER(KENKO[[#This Row],[DISC 1 (%)]]),KENKO[[#This Row],[DISC 1 (%)]],0)))</f>
        <v>3735000</v>
      </c>
      <c r="R5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3871104</v>
      </c>
      <c r="S5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18900096</v>
      </c>
      <c r="T5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4" t="str">
        <f ca="1">IF(KENKO[[#This Row],[//]]="","",INDEX([6]!NOTA[NAMA BARANG],KENKO[[#This Row],[//]]-2))</f>
        <v>KENKO PRICE LABELLER MX-5500 (8 DIGITS, 1 LINE)</v>
      </c>
      <c r="V54" s="4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4" s="4" t="s">
        <v>137</v>
      </c>
      <c r="X54" s="4" t="str">
        <f ca="1">IF(KENKO[[#This Row],[N.B.nota]]="","",ADDRESS(ROW(KENKO[QB]),COLUMN(KENKO[QB]))&amp;":"&amp;ADDRESS(ROW(),COLUMN(KENKO[QB])))</f>
        <v>$D$3:$D$54</v>
      </c>
      <c r="Y54" s="14" t="str">
        <f ca="1">IF(KENKO[[#This Row],[//]]="","",HYPERLINK("[..\\DB.xlsx]DB!e"&amp;MATCH(KENKO[[#This Row],[concat]],[4]!db[NB NOTA_C],0)+1,"&gt;"))</f>
        <v>&gt;</v>
      </c>
    </row>
    <row r="55" spans="1:25" x14ac:dyDescent="0.25">
      <c r="A55" s="4"/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NOTA]]="","",HYPERLINK("[NOTA_.xlsx]NOTA!e"&amp;INDEX([6]!PAJAK[//],MATCH(KENKO[[#This Row],[ID NOTA]],[6]!PAJAK[ID],0)),"&gt;") )</f>
        <v/>
      </c>
      <c r="D55" s="6" t="str">
        <f>IF(KENKO[[#This Row],[ID NOTA]]="","",INDEX(Table1[QB],MATCH(KENKO[[#This Row],[ID NOTA]],Table1[ID],0)))</f>
        <v/>
      </c>
      <c r="E5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" s="6" t="str">
        <f>IF(KENKO[[#This Row],[NO. NOTA]]="","",INDEX([5]KE!$A:$A,MATCH(KENKO[[#This Row],[NO. NOTA]],[5]KE!$D:$D,0)))</f>
        <v/>
      </c>
      <c r="G55" s="3" t="str">
        <f>IF(KENKO[[#This Row],[ID NOTA]]="","",INDEX([6]!NOTA[TGL_H],MATCH(KENKO[[#This Row],[ID NOTA]],[6]!NOTA[ID],0)))</f>
        <v/>
      </c>
      <c r="H55" s="3" t="str">
        <f>IF(KENKO[[#This Row],[ID NOTA]]="","",INDEX([6]!NOTA[TGL.NOTA],MATCH(KENKO[[#This Row],[ID NOTA]],[6]!NOTA[ID],0)))</f>
        <v/>
      </c>
      <c r="I55" s="19" t="str">
        <f>IF(KENKO[[#This Row],[ID NOTA]]="","",INDEX([6]!NOTA[NO.NOTA],MATCH(KENKO[[#This Row],[ID NOTA]],[6]!NOTA[ID],0)))</f>
        <v/>
      </c>
      <c r="J55" s="4" t="s">
        <v>136</v>
      </c>
      <c r="K55" s="6" t="str">
        <f>""</f>
        <v/>
      </c>
      <c r="L55" s="6" t="str">
        <f ca="1">IF(KENKO[//]="","",IF(INDEX([6]!NOTA[QTY],KENKO[//]-2)="",INDEX([6]!NOTA[C],KENKO[//]-2),INDEX([6]!NOTA[QTY],KENKO[//]-2)))</f>
        <v/>
      </c>
      <c r="M55" s="6" t="str">
        <f ca="1">IF(KENKO[//]="","",IF(INDEX([6]!NOTA[STN],KENKO[//]-2)="","CTN",INDEX([6]!NOTA[STN],KENKO[//]-2)))</f>
        <v/>
      </c>
      <c r="N55" s="5" t="str">
        <f ca="1">IF(KENKO[[#This Row],[//]]="","",IF(INDEX([6]!NOTA[HARGA/ CTN],KENKO[[#This Row],[//]]-2)="",INDEX([6]!NOTA[HARGA SATUAN],KENKO[//]-2),INDEX([6]!NOTA[HARGA/ CTN],KENKO[[#This Row],[//]]-2)))</f>
        <v/>
      </c>
      <c r="O55" s="8" t="str">
        <f ca="1">IF(KENKO[[#This Row],[//]]="","",INDEX([6]!NOTA[DISC 1],KENKO[[#This Row],[//]]-2))</f>
        <v/>
      </c>
      <c r="P55" s="8" t="str">
        <f ca="1">IF(KENKO[[#This Row],[//]]="","",INDEX([6]!NOTA[DISC 2],KENKO[[#This Row],[//]]-2))</f>
        <v/>
      </c>
      <c r="Q55" s="5" t="str">
        <f ca="1">IF(KENKO[[#This Row],[//]]="","",INDEX([6]!NOTA[JUMLAH],KENKO[[#This Row],[//]]-2)*(100%-IF(ISNUMBER(KENKO[[#This Row],[DISC 1 (%)]]),KENKO[[#This Row],[DISC 1 (%)]],0)))</f>
        <v/>
      </c>
      <c r="R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4" t="str">
        <f ca="1">IF(KENKO[[#This Row],[//]]="","",INDEX([6]!NOTA[NAMA BARANG],KENKO[[#This Row],[//]]-2))</f>
        <v/>
      </c>
      <c r="V55" s="4" t="str">
        <f ca="1">LOWER(SUBSTITUTE(SUBSTITUTE(SUBSTITUTE(SUBSTITUTE(SUBSTITUTE(SUBSTITUTE(SUBSTITUTE(SUBSTITUTE(KENKO[[#This Row],[N.B.nota]]," ",""),"-",""),"(",""),")",""),".",""),",",""),"/",""),"""",""))</f>
        <v/>
      </c>
      <c r="W55" s="4" t="s">
        <v>136</v>
      </c>
      <c r="X55" s="4" t="str">
        <f ca="1">IF(KENKO[[#This Row],[N.B.nota]]="","",ADDRESS(ROW(KENKO[QB]),COLUMN(KENKO[QB]))&amp;":"&amp;ADDRESS(ROW(),COLUMN(KENKO[QB])))</f>
        <v/>
      </c>
      <c r="Y55" s="14" t="str">
        <f ca="1">IF(KENKO[[#This Row],[//]]="","",HYPERLINK("[..\\DB.xlsx]DB!e"&amp;MATCH(KENKO[[#This Row],[concat]],[4]!db[NB NOTA_C],0)+1,"&gt;"))</f>
        <v/>
      </c>
    </row>
    <row r="56" spans="1:25" x14ac:dyDescent="0.25">
      <c r="A56" s="4" t="s">
        <v>54</v>
      </c>
      <c r="B56" s="6">
        <f ca="1">IF(KENKO[[#This Row],[N_ID]]="","",INDEX(Table1[ID],MATCH(KENKO[[#This Row],[N_ID]],Table1[N_ID],0)))</f>
        <v>46</v>
      </c>
      <c r="C56" s="6" t="str">
        <f ca="1">IF(KENKO[[#This Row],[ID NOTA]]="","",HYPERLINK("[NOTA_.xlsx]NOTA!e"&amp;INDEX([6]!PAJAK[//],MATCH(KENKO[[#This Row],[ID NOTA]],[6]!PAJAK[ID],0)),"&gt;") )</f>
        <v>&gt;</v>
      </c>
      <c r="D56" s="6">
        <f ca="1">IF(KENKO[[#This Row],[ID NOTA]]="","",INDEX(Table1[QB],MATCH(KENKO[[#This Row],[ID NOTA]],Table1[ID],0)))</f>
        <v>7</v>
      </c>
      <c r="E5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230</v>
      </c>
      <c r="F56" s="6" t="e">
        <f ca="1">IF(KENKO[[#This Row],[NO. NOTA]]="","",INDEX([5]KE!$A:$A,MATCH(KENKO[[#This Row],[NO. NOTA]],[5]KE!$D:$D,0)))</f>
        <v>#N/A</v>
      </c>
      <c r="G56" s="3">
        <f ca="1">IF(KENKO[[#This Row],[ID NOTA]]="","",INDEX([6]!NOTA[TGL_H],MATCH(KENKO[[#This Row],[ID NOTA]],[6]!NOTA[ID],0)))</f>
        <v>44753</v>
      </c>
      <c r="H56" s="3">
        <f ca="1">IF(KENKO[[#This Row],[ID NOTA]]="","",INDEX([6]!NOTA[TGL.NOTA],MATCH(KENKO[[#This Row],[ID NOTA]],[6]!NOTA[ID],0)))</f>
        <v>44749</v>
      </c>
      <c r="I56" s="19">
        <f ca="1">IF(KENKO[[#This Row],[ID NOTA]]="","",INDEX([6]!NOTA[NO.NOTA],MATCH(KENKO[[#This Row],[ID NOTA]],[6]!NOTA[ID],0)))</f>
        <v>22070613</v>
      </c>
      <c r="J56" s="4" t="s">
        <v>167</v>
      </c>
      <c r="K56" s="6" t="str">
        <f>""</f>
        <v/>
      </c>
      <c r="L56" s="6">
        <f ca="1">IF(KENKO[//]="","",IF(INDEX([6]!NOTA[QTY],KENKO[//]-2)="",INDEX([6]!NOTA[C],KENKO[//]-2),INDEX([6]!NOTA[QTY],KENKO[//]-2)))</f>
        <v>5</v>
      </c>
      <c r="M56" s="6" t="str">
        <f ca="1">IF(KENKO[//]="","",IF(INDEX([6]!NOTA[STN],KENKO[//]-2)="","CTN",INDEX([6]!NOTA[STN],KENKO[//]-2)))</f>
        <v>CTN</v>
      </c>
      <c r="N56" s="5">
        <f ca="1">IF(KENKO[[#This Row],[//]]="","",IF(INDEX([6]!NOTA[HARGA/ CTN],KENKO[[#This Row],[//]]-2)="",INDEX([6]!NOTA[HARGA SATUAN],KENKO[//]-2),INDEX([6]!NOTA[HARGA/ CTN],KENKO[[#This Row],[//]]-2)))</f>
        <v>1900800</v>
      </c>
      <c r="O56" s="8">
        <f ca="1">IF(KENKO[[#This Row],[//]]="","",INDEX([6]!NOTA[DISC 1],KENKO[[#This Row],[//]]-2))</f>
        <v>0.17</v>
      </c>
      <c r="P56" s="8">
        <f ca="1">IF(KENKO[[#This Row],[//]]="","",INDEX([6]!NOTA[DISC 2],KENKO[[#This Row],[//]]-2))</f>
        <v>0</v>
      </c>
      <c r="Q56" s="5">
        <f ca="1">IF(KENKO[[#This Row],[//]]="","",INDEX([6]!NOTA[JUMLAH],KENKO[[#This Row],[//]]-2)*(100%-IF(ISNUMBER(KENKO[[#This Row],[DISC 1 (%)]]),KENKO[[#This Row],[DISC 1 (%)]],0)))</f>
        <v>7888320</v>
      </c>
      <c r="R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4" t="str">
        <f ca="1">IF(KENKO[[#This Row],[//]]="","",INDEX([6]!NOTA[NAMA BARANG],KENKO[[#This Row],[//]]-2))</f>
        <v>KENKO CORRECTION FLUID KE-01</v>
      </c>
      <c r="V5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6" s="4" t="s">
        <v>137</v>
      </c>
      <c r="X56" s="4" t="str">
        <f ca="1">IF(KENKO[[#This Row],[N.B.nota]]="","",ADDRESS(ROW(KENKO[QB]),COLUMN(KENKO[QB]))&amp;":"&amp;ADDRESS(ROW(),COLUMN(KENKO[QB])))</f>
        <v>$D$3:$D$56</v>
      </c>
      <c r="Y56" s="14" t="str">
        <f ca="1">IF(KENKO[[#This Row],[//]]="","",HYPERLINK("[..\\DB.xlsx]DB!e"&amp;MATCH(KENKO[[#This Row],[concat]],[4]!db[NB NOTA_C],0)+1,"&gt;"))</f>
        <v>&gt;</v>
      </c>
    </row>
    <row r="57" spans="1:25" x14ac:dyDescent="0.25">
      <c r="A57" s="4"/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NOTA]]="","",HYPERLINK("[NOTA_.xlsx]NOTA!e"&amp;INDEX([6]!PAJAK[//],MATCH(KENKO[[#This Row],[ID NOTA]],[6]!PAJAK[ID],0)),"&gt;") )</f>
        <v/>
      </c>
      <c r="D57" s="6" t="str">
        <f>IF(KENKO[[#This Row],[ID NOTA]]="","",INDEX(Table1[QB],MATCH(KENKO[[#This Row],[ID NOTA]],Table1[ID],0)))</f>
        <v/>
      </c>
      <c r="E5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231</v>
      </c>
      <c r="F57" s="6" t="str">
        <f>IF(KENKO[[#This Row],[NO. NOTA]]="","",INDEX([5]KE!$A:$A,MATCH(KENKO[[#This Row],[NO. NOTA]],[5]KE!$D:$D,0)))</f>
        <v/>
      </c>
      <c r="G57" s="3" t="str">
        <f>IF(KENKO[[#This Row],[ID NOTA]]="","",INDEX([6]!NOTA[TGL_H],MATCH(KENKO[[#This Row],[ID NOTA]],[6]!NOTA[ID],0)))</f>
        <v/>
      </c>
      <c r="H57" s="3" t="str">
        <f>IF(KENKO[[#This Row],[ID NOTA]]="","",INDEX([6]!NOTA[TGL.NOTA],MATCH(KENKO[[#This Row],[ID NOTA]],[6]!NOTA[ID],0)))</f>
        <v/>
      </c>
      <c r="I57" s="19" t="str">
        <f>IF(KENKO[[#This Row],[ID NOTA]]="","",INDEX([6]!NOTA[NO.NOTA],MATCH(KENKO[[#This Row],[ID NOTA]],[6]!NOTA[ID],0)))</f>
        <v/>
      </c>
      <c r="J57" s="4" t="s">
        <v>193</v>
      </c>
      <c r="K57" s="6" t="str">
        <f>""</f>
        <v/>
      </c>
      <c r="L57" s="6">
        <f ca="1">IF(KENKO[//]="","",IF(INDEX([6]!NOTA[QTY],KENKO[//]-2)="",INDEX([6]!NOTA[C],KENKO[//]-2),INDEX([6]!NOTA[QTY],KENKO[//]-2)))</f>
        <v>1</v>
      </c>
      <c r="M57" s="6" t="str">
        <f ca="1">IF(KENKO[//]="","",IF(INDEX([6]!NOTA[STN],KENKO[//]-2)="","CTN",INDEX([6]!NOTA[STN],KENKO[//]-2)))</f>
        <v>CTN</v>
      </c>
      <c r="N57" s="5">
        <f ca="1">IF(KENKO[[#This Row],[//]]="","",IF(INDEX([6]!NOTA[HARGA/ CTN],KENKO[[#This Row],[//]]-2)="",INDEX([6]!NOTA[HARGA SATUAN],KENKO[//]-2),INDEX([6]!NOTA[HARGA/ CTN],KENKO[[#This Row],[//]]-2)))</f>
        <v>1440000</v>
      </c>
      <c r="O57" s="8">
        <f ca="1">IF(KENKO[[#This Row],[//]]="","",INDEX([6]!NOTA[DISC 1],KENKO[[#This Row],[//]]-2))</f>
        <v>0.17</v>
      </c>
      <c r="P57" s="8">
        <f ca="1">IF(KENKO[[#This Row],[//]]="","",INDEX([6]!NOTA[DISC 2],KENKO[[#This Row],[//]]-2))</f>
        <v>0</v>
      </c>
      <c r="Q57" s="5">
        <f ca="1">IF(KENKO[[#This Row],[//]]="","",INDEX([6]!NOTA[JUMLAH],KENKO[[#This Row],[//]]-2)*(100%-IF(ISNUMBER(KENKO[[#This Row],[DISC 1 (%)]]),KENKO[[#This Row],[DISC 1 (%)]],0)))</f>
        <v>1195200</v>
      </c>
      <c r="R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4" t="str">
        <f ca="1">IF(KENKO[[#This Row],[//]]="","",INDEX([6]!NOTA[NAMA BARANG],KENKO[[#This Row],[//]]-2))</f>
        <v>KENKO BINDER CLIP NO.105</v>
      </c>
      <c r="V57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7" s="4" t="s">
        <v>137</v>
      </c>
      <c r="X57" s="4" t="str">
        <f ca="1">IF(KENKO[[#This Row],[N.B.nota]]="","",ADDRESS(ROW(KENKO[QB]),COLUMN(KENKO[QB]))&amp;":"&amp;ADDRESS(ROW(),COLUMN(KENKO[QB])))</f>
        <v>$D$3:$D$57</v>
      </c>
      <c r="Y57" s="14" t="str">
        <f ca="1">IF(KENKO[[#This Row],[//]]="","",HYPERLINK("[..\\DB.xlsx]DB!e"&amp;MATCH(KENKO[[#This Row],[concat]],[4]!db[NB NOTA_C],0)+1,"&gt;"))</f>
        <v>&gt;</v>
      </c>
    </row>
    <row r="58" spans="1:25" x14ac:dyDescent="0.25">
      <c r="A58" s="4"/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NOTA]]="","",HYPERLINK("[NOTA_.xlsx]NOTA!e"&amp;INDEX([6]!PAJAK[//],MATCH(KENKO[[#This Row],[ID NOTA]],[6]!PAJAK[ID],0)),"&gt;") )</f>
        <v/>
      </c>
      <c r="D58" s="6" t="str">
        <f>IF(KENKO[[#This Row],[ID NOTA]]="","",INDEX(Table1[QB],MATCH(KENKO[[#This Row],[ID NOTA]],Table1[ID],0)))</f>
        <v/>
      </c>
      <c r="E5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232</v>
      </c>
      <c r="F58" s="6" t="str">
        <f>IF(KENKO[[#This Row],[NO. NOTA]]="","",INDEX([5]KE!$A:$A,MATCH(KENKO[[#This Row],[NO. NOTA]],[5]KE!$D:$D,0)))</f>
        <v/>
      </c>
      <c r="G58" s="3" t="str">
        <f>IF(KENKO[[#This Row],[ID NOTA]]="","",INDEX([6]!NOTA[TGL_H],MATCH(KENKO[[#This Row],[ID NOTA]],[6]!NOTA[ID],0)))</f>
        <v/>
      </c>
      <c r="H58" s="3" t="str">
        <f>IF(KENKO[[#This Row],[ID NOTA]]="","",INDEX([6]!NOTA[TGL.NOTA],MATCH(KENKO[[#This Row],[ID NOTA]],[6]!NOTA[ID],0)))</f>
        <v/>
      </c>
      <c r="I58" s="19" t="str">
        <f>IF(KENKO[[#This Row],[ID NOTA]]="","",INDEX([6]!NOTA[NO.NOTA],MATCH(KENKO[[#This Row],[ID NOTA]],[6]!NOTA[ID],0)))</f>
        <v/>
      </c>
      <c r="J58" s="4" t="s">
        <v>194</v>
      </c>
      <c r="K58" s="6" t="str">
        <f>""</f>
        <v/>
      </c>
      <c r="L58" s="6">
        <f ca="1">IF(KENKO[//]="","",IF(INDEX([6]!NOTA[QTY],KENKO[//]-2)="",INDEX([6]!NOTA[C],KENKO[//]-2),INDEX([6]!NOTA[QTY],KENKO[//]-2)))</f>
        <v>2</v>
      </c>
      <c r="M58" s="6" t="str">
        <f ca="1">IF(KENKO[//]="","",IF(INDEX([6]!NOTA[STN],KENKO[//]-2)="","CTN",INDEX([6]!NOTA[STN],KENKO[//]-2)))</f>
        <v>CTN</v>
      </c>
      <c r="N58" s="5">
        <f ca="1">IF(KENKO[[#This Row],[//]]="","",IF(INDEX([6]!NOTA[HARGA/ CTN],KENKO[[#This Row],[//]]-2)="",INDEX([6]!NOTA[HARGA SATUAN],KENKO[//]-2),INDEX([6]!NOTA[HARGA/ CTN],KENKO[[#This Row],[//]]-2)))</f>
        <v>1590000</v>
      </c>
      <c r="O58" s="8">
        <f ca="1">IF(KENKO[[#This Row],[//]]="","",INDEX([6]!NOTA[DISC 1],KENKO[[#This Row],[//]]-2))</f>
        <v>0.17</v>
      </c>
      <c r="P58" s="8">
        <f ca="1">IF(KENKO[[#This Row],[//]]="","",INDEX([6]!NOTA[DISC 2],KENKO[[#This Row],[//]]-2))</f>
        <v>0</v>
      </c>
      <c r="Q58" s="5">
        <f ca="1">IF(KENKO[[#This Row],[//]]="","",INDEX([6]!NOTA[JUMLAH],KENKO[[#This Row],[//]]-2)*(100%-IF(ISNUMBER(KENKO[[#This Row],[DISC 1 (%)]]),KENKO[[#This Row],[DISC 1 (%)]],0)))</f>
        <v>2639400</v>
      </c>
      <c r="R5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4" t="str">
        <f ca="1">IF(KENKO[[#This Row],[//]]="","",INDEX([6]!NOTA[NAMA BARANG],KENKO[[#This Row],[//]]-2))</f>
        <v>KENKO BINDER CLIP NO.107</v>
      </c>
      <c r="V58" s="4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58" s="4" t="s">
        <v>137</v>
      </c>
      <c r="X58" s="4" t="str">
        <f ca="1">IF(KENKO[[#This Row],[N.B.nota]]="","",ADDRESS(ROW(KENKO[QB]),COLUMN(KENKO[QB]))&amp;":"&amp;ADDRESS(ROW(),COLUMN(KENKO[QB])))</f>
        <v>$D$3:$D$58</v>
      </c>
      <c r="Y58" s="14" t="str">
        <f ca="1">IF(KENKO[[#This Row],[//]]="","",HYPERLINK("[..\\DB.xlsx]DB!e"&amp;MATCH(KENKO[[#This Row],[concat]],[4]!db[NB NOTA_C],0)+1,"&gt;"))</f>
        <v>&gt;</v>
      </c>
    </row>
    <row r="59" spans="1:25" x14ac:dyDescent="0.25">
      <c r="A59" s="4"/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NOTA]]="","",HYPERLINK("[NOTA_.xlsx]NOTA!e"&amp;INDEX([6]!PAJAK[//],MATCH(KENKO[[#This Row],[ID NOTA]],[6]!PAJAK[ID],0)),"&gt;") )</f>
        <v/>
      </c>
      <c r="D59" s="6" t="str">
        <f>IF(KENKO[[#This Row],[ID NOTA]]="","",INDEX(Table1[QB],MATCH(KENKO[[#This Row],[ID NOTA]],Table1[ID],0)))</f>
        <v/>
      </c>
      <c r="E5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233</v>
      </c>
      <c r="F59" s="6" t="str">
        <f>IF(KENKO[[#This Row],[NO. NOTA]]="","",INDEX([5]KE!$A:$A,MATCH(KENKO[[#This Row],[NO. NOTA]],[5]KE!$D:$D,0)))</f>
        <v/>
      </c>
      <c r="G59" s="3" t="str">
        <f>IF(KENKO[[#This Row],[ID NOTA]]="","",INDEX([6]!NOTA[TGL_H],MATCH(KENKO[[#This Row],[ID NOTA]],[6]!NOTA[ID],0)))</f>
        <v/>
      </c>
      <c r="H59" s="3" t="str">
        <f>IF(KENKO[[#This Row],[ID NOTA]]="","",INDEX([6]!NOTA[TGL.NOTA],MATCH(KENKO[[#This Row],[ID NOTA]],[6]!NOTA[ID],0)))</f>
        <v/>
      </c>
      <c r="I59" s="19" t="str">
        <f>IF(KENKO[[#This Row],[ID NOTA]]="","",INDEX([6]!NOTA[NO.NOTA],MATCH(KENKO[[#This Row],[ID NOTA]],[6]!NOTA[ID],0)))</f>
        <v/>
      </c>
      <c r="J59" s="4" t="s">
        <v>195</v>
      </c>
      <c r="K59" s="6" t="str">
        <f>""</f>
        <v/>
      </c>
      <c r="L59" s="6">
        <f ca="1">IF(KENKO[//]="","",IF(INDEX([6]!NOTA[QTY],KENKO[//]-2)="",INDEX([6]!NOTA[C],KENKO[//]-2),INDEX([6]!NOTA[QTY],KENKO[//]-2)))</f>
        <v>1</v>
      </c>
      <c r="M59" s="6" t="str">
        <f ca="1">IF(KENKO[//]="","",IF(INDEX([6]!NOTA[STN],KENKO[//]-2)="","CTN",INDEX([6]!NOTA[STN],KENKO[//]-2)))</f>
        <v>CTN</v>
      </c>
      <c r="N59" s="5">
        <f ca="1">IF(KENKO[[#This Row],[//]]="","",IF(INDEX([6]!NOTA[HARGA/ CTN],KENKO[[#This Row],[//]]-2)="",INDEX([6]!NOTA[HARGA SATUAN],KENKO[//]-2),INDEX([6]!NOTA[HARGA/ CTN],KENKO[[#This Row],[//]]-2)))</f>
        <v>1476000</v>
      </c>
      <c r="O59" s="8">
        <f ca="1">IF(KENKO[[#This Row],[//]]="","",INDEX([6]!NOTA[DISC 1],KENKO[[#This Row],[//]]-2))</f>
        <v>0.17</v>
      </c>
      <c r="P59" s="8">
        <f ca="1">IF(KENKO[[#This Row],[//]]="","",INDEX([6]!NOTA[DISC 2],KENKO[[#This Row],[//]]-2))</f>
        <v>0</v>
      </c>
      <c r="Q59" s="5">
        <f ca="1">IF(KENKO[[#This Row],[//]]="","",INDEX([6]!NOTA[JUMLAH],KENKO[[#This Row],[//]]-2)*(100%-IF(ISNUMBER(KENKO[[#This Row],[DISC 1 (%)]]),KENKO[[#This Row],[DISC 1 (%)]],0)))</f>
        <v>1225080</v>
      </c>
      <c r="R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4" t="str">
        <f ca="1">IF(KENKO[[#This Row],[//]]="","",INDEX([6]!NOTA[NAMA BARANG],KENKO[[#This Row],[//]]-2))</f>
        <v>KENKO BINDER CLIP NO.111</v>
      </c>
      <c r="V59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59" s="4" t="s">
        <v>137</v>
      </c>
      <c r="X59" s="4" t="str">
        <f ca="1">IF(KENKO[[#This Row],[N.B.nota]]="","",ADDRESS(ROW(KENKO[QB]),COLUMN(KENKO[QB]))&amp;":"&amp;ADDRESS(ROW(),COLUMN(KENKO[QB])))</f>
        <v>$D$3:$D$59</v>
      </c>
      <c r="Y59" s="14" t="str">
        <f ca="1">IF(KENKO[[#This Row],[//]]="","",HYPERLINK("[..\\DB.xlsx]DB!e"&amp;MATCH(KENKO[[#This Row],[concat]],[4]!db[NB NOTA_C],0)+1,"&gt;"))</f>
        <v>&gt;</v>
      </c>
    </row>
    <row r="60" spans="1:25" x14ac:dyDescent="0.25">
      <c r="A60" s="4"/>
      <c r="B60" s="6" t="str">
        <f>IF(KENKO[[#This Row],[N_ID]]="","",INDEX(Table1[ID],MATCH(KENKO[[#This Row],[N_ID]],Table1[N_ID],0)))</f>
        <v/>
      </c>
      <c r="C60" s="6" t="str">
        <f>IF(KENKO[[#This Row],[ID NOTA]]="","",HYPERLINK("[NOTA_.xlsx]NOTA!e"&amp;INDEX([6]!PAJAK[//],MATCH(KENKO[[#This Row],[ID NOTA]],[6]!PAJAK[ID],0)),"&gt;") )</f>
        <v/>
      </c>
      <c r="D60" s="6" t="str">
        <f>IF(KENKO[[#This Row],[ID NOTA]]="","",INDEX(Table1[QB],MATCH(KENKO[[#This Row],[ID NOTA]],Table1[ID],0)))</f>
        <v/>
      </c>
      <c r="E6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234</v>
      </c>
      <c r="F60" s="6" t="str">
        <f>IF(KENKO[[#This Row],[NO. NOTA]]="","",INDEX([5]KE!$A:$A,MATCH(KENKO[[#This Row],[NO. NOTA]],[5]KE!$D:$D,0)))</f>
        <v/>
      </c>
      <c r="G60" s="3" t="str">
        <f>IF(KENKO[[#This Row],[ID NOTA]]="","",INDEX([6]!NOTA[TGL_H],MATCH(KENKO[[#This Row],[ID NOTA]],[6]!NOTA[ID],0)))</f>
        <v/>
      </c>
      <c r="H60" s="3" t="str">
        <f>IF(KENKO[[#This Row],[ID NOTA]]="","",INDEX([6]!NOTA[TGL.NOTA],MATCH(KENKO[[#This Row],[ID NOTA]],[6]!NOTA[ID],0)))</f>
        <v/>
      </c>
      <c r="I60" s="19" t="str">
        <f>IF(KENKO[[#This Row],[ID NOTA]]="","",INDEX([6]!NOTA[NO.NOTA],MATCH(KENKO[[#This Row],[ID NOTA]],[6]!NOTA[ID],0)))</f>
        <v/>
      </c>
      <c r="J60" s="4" t="s">
        <v>196</v>
      </c>
      <c r="K60" s="6" t="str">
        <f>""</f>
        <v/>
      </c>
      <c r="L60" s="6">
        <f ca="1">IF(KENKO[//]="","",IF(INDEX([6]!NOTA[QTY],KENKO[//]-2)="",INDEX([6]!NOTA[C],KENKO[//]-2),INDEX([6]!NOTA[QTY],KENKO[//]-2)))</f>
        <v>2</v>
      </c>
      <c r="M60" s="6" t="str">
        <f ca="1">IF(KENKO[//]="","",IF(INDEX([6]!NOTA[STN],KENKO[//]-2)="","CTN",INDEX([6]!NOTA[STN],KENKO[//]-2)))</f>
        <v>CTN</v>
      </c>
      <c r="N60" s="5">
        <f ca="1">IF(KENKO[[#This Row],[//]]="","",IF(INDEX([6]!NOTA[HARGA/ CTN],KENKO[[#This Row],[//]]-2)="",INDEX([6]!NOTA[HARGA SATUAN],KENKO[//]-2),INDEX([6]!NOTA[HARGA/ CTN],KENKO[[#This Row],[//]]-2)))</f>
        <v>1200000</v>
      </c>
      <c r="O60" s="8">
        <f ca="1">IF(KENKO[[#This Row],[//]]="","",INDEX([6]!NOTA[DISC 1],KENKO[[#This Row],[//]]-2))</f>
        <v>0.17</v>
      </c>
      <c r="P60" s="8">
        <f ca="1">IF(KENKO[[#This Row],[//]]="","",INDEX([6]!NOTA[DISC 2],KENKO[[#This Row],[//]]-2))</f>
        <v>0</v>
      </c>
      <c r="Q60" s="5">
        <f ca="1">IF(KENKO[[#This Row],[//]]="","",INDEX([6]!NOTA[JUMLAH],KENKO[[#This Row],[//]]-2)*(100%-IF(ISNUMBER(KENKO[[#This Row],[DISC 1 (%)]]),KENKO[[#This Row],[DISC 1 (%)]],0)))</f>
        <v>1992000</v>
      </c>
      <c r="R6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4" t="str">
        <f ca="1">IF(KENKO[[#This Row],[//]]="","",INDEX([6]!NOTA[NAMA BARANG],KENKO[[#This Row],[//]]-2))</f>
        <v>KENKO BINDER CLIP NO.200</v>
      </c>
      <c r="V60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60" s="4" t="s">
        <v>137</v>
      </c>
      <c r="X60" s="4" t="str">
        <f ca="1">IF(KENKO[[#This Row],[N.B.nota]]="","",ADDRESS(ROW(KENKO[QB]),COLUMN(KENKO[QB]))&amp;":"&amp;ADDRESS(ROW(),COLUMN(KENKO[QB])))</f>
        <v>$D$3:$D$60</v>
      </c>
      <c r="Y60" s="14" t="str">
        <f ca="1">IF(KENKO[[#This Row],[//]]="","",HYPERLINK("[..\\DB.xlsx]DB!e"&amp;MATCH(KENKO[[#This Row],[concat]],[4]!db[NB NOTA_C],0)+1,"&gt;"))</f>
        <v>&gt;</v>
      </c>
    </row>
    <row r="61" spans="1:25" x14ac:dyDescent="0.25">
      <c r="A61" s="4"/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NOTA]]="","",HYPERLINK("[NOTA_.xlsx]NOTA!e"&amp;INDEX([6]!PAJAK[//],MATCH(KENKO[[#This Row],[ID NOTA]],[6]!PAJAK[ID],0)),"&gt;") )</f>
        <v/>
      </c>
      <c r="D61" s="6" t="str">
        <f>IF(KENKO[[#This Row],[ID NOTA]]="","",INDEX(Table1[QB],MATCH(KENKO[[#This Row],[ID NOTA]],Table1[ID],0)))</f>
        <v/>
      </c>
      <c r="E6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235</v>
      </c>
      <c r="F61" s="6" t="str">
        <f>IF(KENKO[[#This Row],[NO. NOTA]]="","",INDEX([5]KE!$A:$A,MATCH(KENKO[[#This Row],[NO. NOTA]],[5]KE!$D:$D,0)))</f>
        <v/>
      </c>
      <c r="G61" s="3" t="str">
        <f>IF(KENKO[[#This Row],[ID NOTA]]="","",INDEX([6]!NOTA[TGL_H],MATCH(KENKO[[#This Row],[ID NOTA]],[6]!NOTA[ID],0)))</f>
        <v/>
      </c>
      <c r="H61" s="3" t="str">
        <f>IF(KENKO[[#This Row],[ID NOTA]]="","",INDEX([6]!NOTA[TGL.NOTA],MATCH(KENKO[[#This Row],[ID NOTA]],[6]!NOTA[ID],0)))</f>
        <v/>
      </c>
      <c r="I61" s="19" t="str">
        <f>IF(KENKO[[#This Row],[ID NOTA]]="","",INDEX([6]!NOTA[NO.NOTA],MATCH(KENKO[[#This Row],[ID NOTA]],[6]!NOTA[ID],0)))</f>
        <v/>
      </c>
      <c r="J61" s="4" t="s">
        <v>197</v>
      </c>
      <c r="K61" s="6" t="str">
        <f>""</f>
        <v/>
      </c>
      <c r="L61" s="6">
        <f ca="1">IF(KENKO[//]="","",IF(INDEX([6]!NOTA[QTY],KENKO[//]-2)="",INDEX([6]!NOTA[C],KENKO[//]-2),INDEX([6]!NOTA[QTY],KENKO[//]-2)))</f>
        <v>5</v>
      </c>
      <c r="M61" s="6" t="str">
        <f ca="1">IF(KENKO[//]="","",IF(INDEX([6]!NOTA[STN],KENKO[//]-2)="","CTN",INDEX([6]!NOTA[STN],KENKO[//]-2)))</f>
        <v>CTN</v>
      </c>
      <c r="N61" s="5">
        <f ca="1">IF(KENKO[[#This Row],[//]]="","",IF(INDEX([6]!NOTA[HARGA/ CTN],KENKO[[#This Row],[//]]-2)="",INDEX([6]!NOTA[HARGA SATUAN],KENKO[//]-2),INDEX([6]!NOTA[HARGA/ CTN],KENKO[[#This Row],[//]]-2)))</f>
        <v>900000</v>
      </c>
      <c r="O61" s="8">
        <f ca="1">IF(KENKO[[#This Row],[//]]="","",INDEX([6]!NOTA[DISC 1],KENKO[[#This Row],[//]]-2))</f>
        <v>0.17</v>
      </c>
      <c r="P61" s="8">
        <f ca="1">IF(KENKO[[#This Row],[//]]="","",INDEX([6]!NOTA[DISC 2],KENKO[[#This Row],[//]]-2))</f>
        <v>0</v>
      </c>
      <c r="Q61" s="5">
        <f ca="1">IF(KENKO[[#This Row],[//]]="","",INDEX([6]!NOTA[JUMLAH],KENKO[[#This Row],[//]]-2)*(100%-IF(ISNUMBER(KENKO[[#This Row],[DISC 1 (%)]]),KENKO[[#This Row],[DISC 1 (%)]],0)))</f>
        <v>3735000</v>
      </c>
      <c r="R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4" t="str">
        <f ca="1">IF(KENKO[[#This Row],[//]]="","",INDEX([6]!NOTA[NAMA BARANG],KENKO[[#This Row],[//]]-2))</f>
        <v>KENKO BINDER CLIP NO.260</v>
      </c>
      <c r="V61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61" s="4" t="s">
        <v>137</v>
      </c>
      <c r="X61" s="4" t="str">
        <f ca="1">IF(KENKO[[#This Row],[N.B.nota]]="","",ADDRESS(ROW(KENKO[QB]),COLUMN(KENKO[QB]))&amp;":"&amp;ADDRESS(ROW(),COLUMN(KENKO[QB])))</f>
        <v>$D$3:$D$61</v>
      </c>
      <c r="Y61" s="14" t="str">
        <f ca="1">IF(KENKO[[#This Row],[//]]="","",HYPERLINK("[..\\DB.xlsx]DB!e"&amp;MATCH(KENKO[[#This Row],[concat]],[4]!db[NB NOTA_C],0)+1,"&gt;"))</f>
        <v>&gt;</v>
      </c>
    </row>
    <row r="62" spans="1:25" x14ac:dyDescent="0.25">
      <c r="A62" s="4"/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NOTA]]="","",HYPERLINK("[NOTA_.xlsx]NOTA!e"&amp;INDEX([6]!PAJAK[//],MATCH(KENKO[[#This Row],[ID NOTA]],[6]!PAJAK[ID],0)),"&gt;") )</f>
        <v/>
      </c>
      <c r="D62" s="6" t="str">
        <f>IF(KENKO[[#This Row],[ID NOTA]]="","",INDEX(Table1[QB],MATCH(KENKO[[#This Row],[ID NOTA]],Table1[ID],0)))</f>
        <v/>
      </c>
      <c r="E6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236</v>
      </c>
      <c r="F62" s="6" t="str">
        <f>IF(KENKO[[#This Row],[NO. NOTA]]="","",INDEX([5]KE!$A:$A,MATCH(KENKO[[#This Row],[NO. NOTA]],[5]KE!$D:$D,0)))</f>
        <v/>
      </c>
      <c r="G62" s="3" t="str">
        <f>IF(KENKO[[#This Row],[ID NOTA]]="","",INDEX([6]!NOTA[TGL_H],MATCH(KENKO[[#This Row],[ID NOTA]],[6]!NOTA[ID],0)))</f>
        <v/>
      </c>
      <c r="H62" s="3" t="str">
        <f>IF(KENKO[[#This Row],[ID NOTA]]="","",INDEX([6]!NOTA[TGL.NOTA],MATCH(KENKO[[#This Row],[ID NOTA]],[6]!NOTA[ID],0)))</f>
        <v/>
      </c>
      <c r="I62" s="19" t="str">
        <f>IF(KENKO[[#This Row],[ID NOTA]]="","",INDEX([6]!NOTA[NO.NOTA],MATCH(KENKO[[#This Row],[ID NOTA]],[6]!NOTA[ID],0)))</f>
        <v/>
      </c>
      <c r="J62" s="4" t="s">
        <v>198</v>
      </c>
      <c r="K62" s="6" t="str">
        <f>""</f>
        <v/>
      </c>
      <c r="L62" s="6">
        <f ca="1">IF(KENKO[//]="","",IF(INDEX([6]!NOTA[QTY],KENKO[//]-2)="",INDEX([6]!NOTA[C],KENKO[//]-2),INDEX([6]!NOTA[QTY],KENKO[//]-2)))</f>
        <v>1</v>
      </c>
      <c r="M62" s="6" t="str">
        <f ca="1">IF(KENKO[//]="","",IF(INDEX([6]!NOTA[STN],KENKO[//]-2)="","CTN",INDEX([6]!NOTA[STN],KENKO[//]-2)))</f>
        <v>CTN</v>
      </c>
      <c r="N62" s="5">
        <f ca="1">IF(KENKO[[#This Row],[//]]="","",IF(INDEX([6]!NOTA[HARGA/ CTN],KENKO[[#This Row],[//]]-2)="",INDEX([6]!NOTA[HARGA SATUAN],KENKO[//]-2),INDEX([6]!NOTA[HARGA/ CTN],KENKO[[#This Row],[//]]-2)))</f>
        <v>1548000</v>
      </c>
      <c r="O62" s="8">
        <f ca="1">IF(KENKO[[#This Row],[//]]="","",INDEX([6]!NOTA[DISC 1],KENKO[[#This Row],[//]]-2))</f>
        <v>0.17</v>
      </c>
      <c r="P62" s="8">
        <f ca="1">IF(KENKO[[#This Row],[//]]="","",INDEX([6]!NOTA[DISC 2],KENKO[[#This Row],[//]]-2))</f>
        <v>0</v>
      </c>
      <c r="Q62" s="5">
        <f ca="1">IF(KENKO[[#This Row],[//]]="","",INDEX([6]!NOTA[JUMLAH],KENKO[[#This Row],[//]]-2)*(100%-IF(ISNUMBER(KENKO[[#This Row],[DISC 1 (%)]]),KENKO[[#This Row],[DISC 1 (%)]],0)))</f>
        <v>1284840</v>
      </c>
      <c r="R6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4088160</v>
      </c>
      <c r="S6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19959840</v>
      </c>
      <c r="T6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4" t="str">
        <f ca="1">IF(KENKO[[#This Row],[//]]="","",INDEX([6]!NOTA[NAMA BARANG],KENKO[[#This Row],[//]]-2))</f>
        <v>KENKO BINDER CLIP NO.280 (6PCS/ BOX)</v>
      </c>
      <c r="V62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62" s="4" t="s">
        <v>137</v>
      </c>
      <c r="X62" s="4" t="str">
        <f ca="1">IF(KENKO[[#This Row],[N.B.nota]]="","",ADDRESS(ROW(KENKO[QB]),COLUMN(KENKO[QB]))&amp;":"&amp;ADDRESS(ROW(),COLUMN(KENKO[QB])))</f>
        <v>$D$3:$D$62</v>
      </c>
      <c r="Y62" s="14" t="str">
        <f ca="1">IF(KENKO[[#This Row],[//]]="","",HYPERLINK("[..\\DB.xlsx]DB!e"&amp;MATCH(KENKO[[#This Row],[concat]],[4]!db[NB NOTA_C],0)+1,"&gt;"))</f>
        <v>&gt;</v>
      </c>
    </row>
    <row r="63" spans="1:25" x14ac:dyDescent="0.25">
      <c r="A63" s="4"/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NOTA]]="","",HYPERLINK("[NOTA_.xlsx]NOTA!e"&amp;INDEX([6]!PAJAK[//],MATCH(KENKO[[#This Row],[ID NOTA]],[6]!PAJAK[ID],0)),"&gt;") )</f>
        <v/>
      </c>
      <c r="D63" s="6" t="str">
        <f>IF(KENKO[[#This Row],[ID NOTA]]="","",INDEX(Table1[QB],MATCH(KENKO[[#This Row],[ID NOTA]],Table1[ID],0)))</f>
        <v/>
      </c>
      <c r="E6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3" s="6" t="str">
        <f>IF(KENKO[[#This Row],[NO. NOTA]]="","",INDEX([5]KE!$A:$A,MATCH(KENKO[[#This Row],[NO. NOTA]],[5]KE!$D:$D,0)))</f>
        <v/>
      </c>
      <c r="G63" s="3" t="str">
        <f>IF(KENKO[[#This Row],[ID NOTA]]="","",INDEX([6]!NOTA[TGL_H],MATCH(KENKO[[#This Row],[ID NOTA]],[6]!NOTA[ID],0)))</f>
        <v/>
      </c>
      <c r="H63" s="3" t="str">
        <f>IF(KENKO[[#This Row],[ID NOTA]]="","",INDEX([6]!NOTA[TGL.NOTA],MATCH(KENKO[[#This Row],[ID NOTA]],[6]!NOTA[ID],0)))</f>
        <v/>
      </c>
      <c r="I63" s="19" t="str">
        <f>IF(KENKO[[#This Row],[ID NOTA]]="","",INDEX([6]!NOTA[NO.NOTA],MATCH(KENKO[[#This Row],[ID NOTA]],[6]!NOTA[ID],0)))</f>
        <v/>
      </c>
      <c r="J63" s="4" t="s">
        <v>136</v>
      </c>
      <c r="K63" s="6" t="str">
        <f>""</f>
        <v/>
      </c>
      <c r="L63" s="6" t="str">
        <f ca="1">IF(KENKO[//]="","",IF(INDEX([6]!NOTA[QTY],KENKO[//]-2)="",INDEX([6]!NOTA[C],KENKO[//]-2),INDEX([6]!NOTA[QTY],KENKO[//]-2)))</f>
        <v/>
      </c>
      <c r="M63" s="6" t="str">
        <f ca="1">IF(KENKO[//]="","",IF(INDEX([6]!NOTA[STN],KENKO[//]-2)="","CTN",INDEX([6]!NOTA[STN],KENKO[//]-2)))</f>
        <v/>
      </c>
      <c r="N63" s="5" t="str">
        <f ca="1">IF(KENKO[[#This Row],[//]]="","",IF(INDEX([6]!NOTA[HARGA/ CTN],KENKO[[#This Row],[//]]-2)="",INDEX([6]!NOTA[HARGA SATUAN],KENKO[//]-2),INDEX([6]!NOTA[HARGA/ CTN],KENKO[[#This Row],[//]]-2)))</f>
        <v/>
      </c>
      <c r="O63" s="8" t="str">
        <f ca="1">IF(KENKO[[#This Row],[//]]="","",INDEX([6]!NOTA[DISC 1],KENKO[[#This Row],[//]]-2))</f>
        <v/>
      </c>
      <c r="P63" s="8" t="str">
        <f ca="1">IF(KENKO[[#This Row],[//]]="","",INDEX([6]!NOTA[DISC 2],KENKO[[#This Row],[//]]-2))</f>
        <v/>
      </c>
      <c r="Q63" s="5" t="str">
        <f ca="1">IF(KENKO[[#This Row],[//]]="","",INDEX([6]!NOTA[JUMLAH],KENKO[[#This Row],[//]]-2)*(100%-IF(ISNUMBER(KENKO[[#This Row],[DISC 1 (%)]]),KENKO[[#This Row],[DISC 1 (%)]],0)))</f>
        <v/>
      </c>
      <c r="R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4" t="str">
        <f ca="1">IF(KENKO[[#This Row],[//]]="","",INDEX([6]!NOTA[NAMA BARANG],KENKO[[#This Row],[//]]-2))</f>
        <v/>
      </c>
      <c r="V63" s="4" t="str">
        <f ca="1">LOWER(SUBSTITUTE(SUBSTITUTE(SUBSTITUTE(SUBSTITUTE(SUBSTITUTE(SUBSTITUTE(SUBSTITUTE(SUBSTITUTE(KENKO[[#This Row],[N.B.nota]]," ",""),"-",""),"(",""),")",""),".",""),",",""),"/",""),"""",""))</f>
        <v/>
      </c>
      <c r="W63" s="4" t="s">
        <v>136</v>
      </c>
      <c r="X63" s="4" t="str">
        <f ca="1">IF(KENKO[[#This Row],[N.B.nota]]="","",ADDRESS(ROW(KENKO[QB]),COLUMN(KENKO[QB]))&amp;":"&amp;ADDRESS(ROW(),COLUMN(KENKO[QB])))</f>
        <v/>
      </c>
      <c r="Y63" s="14" t="str">
        <f ca="1">IF(KENKO[[#This Row],[//]]="","",HYPERLINK("[..\\DB.xlsx]DB!e"&amp;MATCH(KENKO[[#This Row],[concat]],[4]!db[NB NOTA_C],0)+1,"&gt;"))</f>
        <v/>
      </c>
    </row>
    <row r="64" spans="1:25" x14ac:dyDescent="0.25">
      <c r="A64" s="4" t="s">
        <v>55</v>
      </c>
      <c r="B64" s="6">
        <f ca="1">IF(KENKO[[#This Row],[N_ID]]="","",INDEX(Table1[ID],MATCH(KENKO[[#This Row],[N_ID]],Table1[N_ID],0)))</f>
        <v>71</v>
      </c>
      <c r="C64" s="6" t="str">
        <f ca="1">IF(KENKO[[#This Row],[ID NOTA]]="","",HYPERLINK("[NOTA_.xlsx]NOTA!e"&amp;INDEX([6]!PAJAK[//],MATCH(KENKO[[#This Row],[ID NOTA]],[6]!PAJAK[ID],0)),"&gt;") )</f>
        <v>&gt;</v>
      </c>
      <c r="D64" s="6">
        <f ca="1">IF(KENKO[[#This Row],[ID NOTA]]="","",INDEX(Table1[QB],MATCH(KENKO[[#This Row],[ID NOTA]],Table1[ID],0)))</f>
        <v>6</v>
      </c>
      <c r="E6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352</v>
      </c>
      <c r="F64" s="6" t="e">
        <f ca="1">IF(KENKO[[#This Row],[NO. NOTA]]="","",INDEX([5]KE!$A:$A,MATCH(KENKO[[#This Row],[NO. NOTA]],[5]KE!$D:$D,0)))</f>
        <v>#N/A</v>
      </c>
      <c r="G64" s="3">
        <f ca="1">IF(KENKO[[#This Row],[ID NOTA]]="","",INDEX([6]!NOTA[TGL_H],MATCH(KENKO[[#This Row],[ID NOTA]],[6]!NOTA[ID],0)))</f>
        <v>44756</v>
      </c>
      <c r="H64" s="3">
        <f ca="1">IF(KENKO[[#This Row],[ID NOTA]]="","",INDEX([6]!NOTA[TGL.NOTA],MATCH(KENKO[[#This Row],[ID NOTA]],[6]!NOTA[ID],0)))</f>
        <v>44750</v>
      </c>
      <c r="I64" s="19" t="str">
        <f ca="1">IF(KENKO[[#This Row],[ID NOTA]]="","",INDEX([6]!NOTA[NO.NOTA],MATCH(KENKO[[#This Row],[ID NOTA]],[6]!NOTA[ID],0)))</f>
        <v>22070730</v>
      </c>
      <c r="J64" s="4" t="s">
        <v>199</v>
      </c>
      <c r="K64" s="6" t="str">
        <f>""</f>
        <v/>
      </c>
      <c r="L64" s="6">
        <f ca="1">IF(KENKO[//]="","",IF(INDEX([6]!NOTA[QTY],KENKO[//]-2)="",INDEX([6]!NOTA[C],KENKO[//]-2),INDEX([6]!NOTA[QTY],KENKO[//]-2)))</f>
        <v>3</v>
      </c>
      <c r="M64" s="6" t="str">
        <f ca="1">IF(KENKO[//]="","",IF(INDEX([6]!NOTA[STN],KENKO[//]-2)="","CTN",INDEX([6]!NOTA[STN],KENKO[//]-2)))</f>
        <v>CTN</v>
      </c>
      <c r="N64" s="5">
        <f ca="1">IF(KENKO[[#This Row],[//]]="","",IF(INDEX([6]!NOTA[HARGA/ CTN],KENKO[[#This Row],[//]]-2)="",INDEX([6]!NOTA[HARGA SATUAN],KENKO[//]-2),INDEX([6]!NOTA[HARGA/ CTN],KENKO[[#This Row],[//]]-2)))</f>
        <v>800000</v>
      </c>
      <c r="O64" s="8">
        <f ca="1">IF(KENKO[[#This Row],[//]]="","",INDEX([6]!NOTA[DISC 1],KENKO[[#This Row],[//]]-2))</f>
        <v>0.17</v>
      </c>
      <c r="P64" s="8">
        <f ca="1">IF(KENKO[[#This Row],[//]]="","",INDEX([6]!NOTA[DISC 2],KENKO[[#This Row],[//]]-2))</f>
        <v>0</v>
      </c>
      <c r="Q64" s="5">
        <f ca="1">IF(KENKO[[#This Row],[//]]="","",INDEX([6]!NOTA[JUMLAH],KENKO[[#This Row],[//]]-2)*(100%-IF(ISNUMBER(KENKO[[#This Row],[DISC 1 (%)]]),KENKO[[#This Row],[DISC 1 (%)]],0)))</f>
        <v>1992000</v>
      </c>
      <c r="R6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4" t="str">
        <f ca="1">IF(KENKO[[#This Row],[//]]="","",INDEX([6]!NOTA[NAMA BARANG],KENKO[[#This Row],[//]]-2))</f>
        <v>KENKO TRIGONAL CLIP NO.3</v>
      </c>
      <c r="V64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64" s="4" t="s">
        <v>137</v>
      </c>
      <c r="X64" s="4" t="str">
        <f ca="1">IF(KENKO[[#This Row],[N.B.nota]]="","",ADDRESS(ROW(KENKO[QB]),COLUMN(KENKO[QB]))&amp;":"&amp;ADDRESS(ROW(),COLUMN(KENKO[QB])))</f>
        <v>$D$3:$D$64</v>
      </c>
      <c r="Y64" s="14" t="str">
        <f ca="1">IF(KENKO[[#This Row],[//]]="","",HYPERLINK("[..\\DB.xlsx]DB!e"&amp;MATCH(KENKO[[#This Row],[concat]],[4]!db[NB NOTA_C],0)+1,"&gt;"))</f>
        <v>&gt;</v>
      </c>
    </row>
    <row r="65" spans="1:25" x14ac:dyDescent="0.25">
      <c r="A65" s="4"/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NOTA]]="","",HYPERLINK("[NOTA_.xlsx]NOTA!e"&amp;INDEX([6]!PAJAK[//],MATCH(KENKO[[#This Row],[ID NOTA]],[6]!PAJAK[ID],0)),"&gt;") )</f>
        <v/>
      </c>
      <c r="D65" s="6" t="str">
        <f>IF(KENKO[[#This Row],[ID NOTA]]="","",INDEX(Table1[QB],MATCH(KENKO[[#This Row],[ID NOTA]],Table1[ID],0)))</f>
        <v/>
      </c>
      <c r="E6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353</v>
      </c>
      <c r="F65" s="6" t="str">
        <f>IF(KENKO[[#This Row],[NO. NOTA]]="","",INDEX([5]KE!$A:$A,MATCH(KENKO[[#This Row],[NO. NOTA]],[5]KE!$D:$D,0)))</f>
        <v/>
      </c>
      <c r="G65" s="3" t="str">
        <f>IF(KENKO[[#This Row],[ID NOTA]]="","",INDEX([6]!NOTA[TGL_H],MATCH(KENKO[[#This Row],[ID NOTA]],[6]!NOTA[ID],0)))</f>
        <v/>
      </c>
      <c r="H65" s="3" t="str">
        <f>IF(KENKO[[#This Row],[ID NOTA]]="","",INDEX([6]!NOTA[TGL.NOTA],MATCH(KENKO[[#This Row],[ID NOTA]],[6]!NOTA[ID],0)))</f>
        <v/>
      </c>
      <c r="I65" s="19" t="str">
        <f>IF(KENKO[[#This Row],[ID NOTA]]="","",INDEX([6]!NOTA[NO.NOTA],MATCH(KENKO[[#This Row],[ID NOTA]],[6]!NOTA[ID],0)))</f>
        <v/>
      </c>
      <c r="J65" s="4" t="s">
        <v>200</v>
      </c>
      <c r="K65" s="6" t="str">
        <f>""</f>
        <v/>
      </c>
      <c r="L65" s="6">
        <f ca="1">IF(KENKO[//]="","",IF(INDEX([6]!NOTA[QTY],KENKO[//]-2)="",INDEX([6]!NOTA[C],KENKO[//]-2),INDEX([6]!NOTA[QTY],KENKO[//]-2)))</f>
        <v>1</v>
      </c>
      <c r="M65" s="6" t="str">
        <f ca="1">IF(KENKO[//]="","",IF(INDEX([6]!NOTA[STN],KENKO[//]-2)="","CTN",INDEX([6]!NOTA[STN],KENKO[//]-2)))</f>
        <v>CTN</v>
      </c>
      <c r="N65" s="5">
        <f ca="1">IF(KENKO[[#This Row],[//]]="","",IF(INDEX([6]!NOTA[HARGA/ CTN],KENKO[[#This Row],[//]]-2)="",INDEX([6]!NOTA[HARGA SATUAN],KENKO[//]-2),INDEX([6]!NOTA[HARGA/ CTN],KENKO[[#This Row],[//]]-2)))</f>
        <v>860000</v>
      </c>
      <c r="O65" s="8">
        <f ca="1">IF(KENKO[[#This Row],[//]]="","",INDEX([6]!NOTA[DISC 1],KENKO[[#This Row],[//]]-2))</f>
        <v>0.17</v>
      </c>
      <c r="P65" s="8">
        <f ca="1">IF(KENKO[[#This Row],[//]]="","",INDEX([6]!NOTA[DISC 2],KENKO[[#This Row],[//]]-2))</f>
        <v>0</v>
      </c>
      <c r="Q65" s="5">
        <f ca="1">IF(KENKO[[#This Row],[//]]="","",INDEX([6]!NOTA[JUMLAH],KENKO[[#This Row],[//]]-2)*(100%-IF(ISNUMBER(KENKO[[#This Row],[DISC 1 (%)]]),KENKO[[#This Row],[DISC 1 (%)]],0)))</f>
        <v>713800</v>
      </c>
      <c r="R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4" t="str">
        <f ca="1">IF(KENKO[[#This Row],[//]]="","",INDEX([6]!NOTA[NAMA BARANG],KENKO[[#This Row],[//]]-2))</f>
        <v>KENKO JUMBO CLIP NO.5</v>
      </c>
      <c r="V65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65" s="4" t="s">
        <v>137</v>
      </c>
      <c r="X65" s="4" t="str">
        <f ca="1">IF(KENKO[[#This Row],[N.B.nota]]="","",ADDRESS(ROW(KENKO[QB]),COLUMN(KENKO[QB]))&amp;":"&amp;ADDRESS(ROW(),COLUMN(KENKO[QB])))</f>
        <v>$D$3:$D$65</v>
      </c>
      <c r="Y65" s="14" t="str">
        <f ca="1">IF(KENKO[[#This Row],[//]]="","",HYPERLINK("[..\\DB.xlsx]DB!e"&amp;MATCH(KENKO[[#This Row],[concat]],[4]!db[NB NOTA_C],0)+1,"&gt;"))</f>
        <v>&gt;</v>
      </c>
    </row>
    <row r="66" spans="1:25" x14ac:dyDescent="0.25">
      <c r="A66" s="4"/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NOTA]]="","",HYPERLINK("[NOTA_.xlsx]NOTA!e"&amp;INDEX([6]!PAJAK[//],MATCH(KENKO[[#This Row],[ID NOTA]],[6]!PAJAK[ID],0)),"&gt;") )</f>
        <v/>
      </c>
      <c r="D66" s="6" t="str">
        <f>IF(KENKO[[#This Row],[ID NOTA]]="","",INDEX(Table1[QB],MATCH(KENKO[[#This Row],[ID NOTA]],Table1[ID],0)))</f>
        <v/>
      </c>
      <c r="E6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354</v>
      </c>
      <c r="F66" s="6" t="str">
        <f>IF(KENKO[[#This Row],[NO. NOTA]]="","",INDEX([5]KE!$A:$A,MATCH(KENKO[[#This Row],[NO. NOTA]],[5]KE!$D:$D,0)))</f>
        <v/>
      </c>
      <c r="G66" s="3" t="str">
        <f>IF(KENKO[[#This Row],[ID NOTA]]="","",INDEX([6]!NOTA[TGL_H],MATCH(KENKO[[#This Row],[ID NOTA]],[6]!NOTA[ID],0)))</f>
        <v/>
      </c>
      <c r="H66" s="3" t="str">
        <f>IF(KENKO[[#This Row],[ID NOTA]]="","",INDEX([6]!NOTA[TGL.NOTA],MATCH(KENKO[[#This Row],[ID NOTA]],[6]!NOTA[ID],0)))</f>
        <v/>
      </c>
      <c r="I66" s="19" t="str">
        <f>IF(KENKO[[#This Row],[ID NOTA]]="","",INDEX([6]!NOTA[NO.NOTA],MATCH(KENKO[[#This Row],[ID NOTA]],[6]!NOTA[ID],0)))</f>
        <v/>
      </c>
      <c r="J66" s="4" t="s">
        <v>177</v>
      </c>
      <c r="K66" s="6" t="str">
        <f>""</f>
        <v/>
      </c>
      <c r="L66" s="6">
        <f ca="1">IF(KENKO[//]="","",IF(INDEX([6]!NOTA[QTY],KENKO[//]-2)="",INDEX([6]!NOTA[C],KENKO[//]-2),INDEX([6]!NOTA[QTY],KENKO[//]-2)))</f>
        <v>5</v>
      </c>
      <c r="M66" s="6" t="str">
        <f ca="1">IF(KENKO[//]="","",IF(INDEX([6]!NOTA[STN],KENKO[//]-2)="","CTN",INDEX([6]!NOTA[STN],KENKO[//]-2)))</f>
        <v>CTN</v>
      </c>
      <c r="N66" s="5">
        <f ca="1">IF(KENKO[[#This Row],[//]]="","",IF(INDEX([6]!NOTA[HARGA/ CTN],KENKO[[#This Row],[//]]-2)="",INDEX([6]!NOTA[HARGA SATUAN],KENKO[//]-2),INDEX([6]!NOTA[HARGA/ CTN],KENKO[[#This Row],[//]]-2)))</f>
        <v>3110400</v>
      </c>
      <c r="O66" s="8">
        <f ca="1">IF(KENKO[[#This Row],[//]]="","",INDEX([6]!NOTA[DISC 1],KENKO[[#This Row],[//]]-2))</f>
        <v>0.17</v>
      </c>
      <c r="P66" s="8">
        <f ca="1">IF(KENKO[[#This Row],[//]]="","",INDEX([6]!NOTA[DISC 2],KENKO[[#This Row],[//]]-2))</f>
        <v>0</v>
      </c>
      <c r="Q66" s="5">
        <f ca="1">IF(KENKO[[#This Row],[//]]="","",INDEX([6]!NOTA[JUMLAH],KENKO[[#This Row],[//]]-2)*(100%-IF(ISNUMBER(KENKO[[#This Row],[DISC 1 (%)]]),KENKO[[#This Row],[DISC 1 (%)]],0)))</f>
        <v>12908160</v>
      </c>
      <c r="R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4" t="str">
        <f ca="1">IF(KENKO[[#This Row],[//]]="","",INDEX([6]!NOTA[NAMA BARANG],KENKO[[#This Row],[//]]-2))</f>
        <v>KENKO GEL PEN KE-303 T-GEL TRIANGULAR BLACK</v>
      </c>
      <c r="V66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66" s="4" t="s">
        <v>137</v>
      </c>
      <c r="X66" s="4" t="str">
        <f ca="1">IF(KENKO[[#This Row],[N.B.nota]]="","",ADDRESS(ROW(KENKO[QB]),COLUMN(KENKO[QB]))&amp;":"&amp;ADDRESS(ROW(),COLUMN(KENKO[QB])))</f>
        <v>$D$3:$D$66</v>
      </c>
      <c r="Y66" s="14" t="str">
        <f ca="1">IF(KENKO[[#This Row],[//]]="","",HYPERLINK("[..\\DB.xlsx]DB!e"&amp;MATCH(KENKO[[#This Row],[concat]],[4]!db[NB NOTA_C],0)+1,"&gt;"))</f>
        <v>&gt;</v>
      </c>
    </row>
    <row r="67" spans="1:25" x14ac:dyDescent="0.25">
      <c r="A67" s="4"/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NOTA]]="","",HYPERLINK("[NOTA_.xlsx]NOTA!e"&amp;INDEX([6]!PAJAK[//],MATCH(KENKO[[#This Row],[ID NOTA]],[6]!PAJAK[ID],0)),"&gt;") )</f>
        <v/>
      </c>
      <c r="D67" s="6" t="str">
        <f>IF(KENKO[[#This Row],[ID NOTA]]="","",INDEX(Table1[QB],MATCH(KENKO[[#This Row],[ID NOTA]],Table1[ID],0)))</f>
        <v/>
      </c>
      <c r="E6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355</v>
      </c>
      <c r="F67" s="6" t="str">
        <f>IF(KENKO[[#This Row],[NO. NOTA]]="","",INDEX([5]KE!$A:$A,MATCH(KENKO[[#This Row],[NO. NOTA]],[5]KE!$D:$D,0)))</f>
        <v/>
      </c>
      <c r="G67" s="3" t="str">
        <f>IF(KENKO[[#This Row],[ID NOTA]]="","",INDEX([6]!NOTA[TGL_H],MATCH(KENKO[[#This Row],[ID NOTA]],[6]!NOTA[ID],0)))</f>
        <v/>
      </c>
      <c r="H67" s="3" t="str">
        <f>IF(KENKO[[#This Row],[ID NOTA]]="","",INDEX([6]!NOTA[TGL.NOTA],MATCH(KENKO[[#This Row],[ID NOTA]],[6]!NOTA[ID],0)))</f>
        <v/>
      </c>
      <c r="I67" s="19" t="str">
        <f>IF(KENKO[[#This Row],[ID NOTA]]="","",INDEX([6]!NOTA[NO.NOTA],MATCH(KENKO[[#This Row],[ID NOTA]],[6]!NOTA[ID],0)))</f>
        <v/>
      </c>
      <c r="J67" s="4" t="s">
        <v>170</v>
      </c>
      <c r="K67" s="6" t="str">
        <f>""</f>
        <v/>
      </c>
      <c r="L67" s="6">
        <f ca="1">IF(KENKO[//]="","",IF(INDEX([6]!NOTA[QTY],KENKO[//]-2)="",INDEX([6]!NOTA[C],KENKO[//]-2),INDEX([6]!NOTA[QTY],KENKO[//]-2)))</f>
        <v>4</v>
      </c>
      <c r="M67" s="6" t="str">
        <f ca="1">IF(KENKO[//]="","",IF(INDEX([6]!NOTA[STN],KENKO[//]-2)="","CTN",INDEX([6]!NOTA[STN],KENKO[//]-2)))</f>
        <v>CTN</v>
      </c>
      <c r="N67" s="5">
        <f ca="1">IF(KENKO[[#This Row],[//]]="","",IF(INDEX([6]!NOTA[HARGA/ CTN],KENKO[[#This Row],[//]]-2)="",INDEX([6]!NOTA[HARGA SATUAN],KENKO[//]-2),INDEX([6]!NOTA[HARGA/ CTN],KENKO[[#This Row],[//]]-2)))</f>
        <v>3758400</v>
      </c>
      <c r="O67" s="8">
        <f ca="1">IF(KENKO[[#This Row],[//]]="","",INDEX([6]!NOTA[DISC 1],KENKO[[#This Row],[//]]-2))</f>
        <v>0.17</v>
      </c>
      <c r="P67" s="8">
        <f ca="1">IF(KENKO[[#This Row],[//]]="","",INDEX([6]!NOTA[DISC 2],KENKO[[#This Row],[//]]-2))</f>
        <v>0</v>
      </c>
      <c r="Q67" s="5">
        <f ca="1">IF(KENKO[[#This Row],[//]]="","",INDEX([6]!NOTA[JUMLAH],KENKO[[#This Row],[//]]-2)*(100%-IF(ISNUMBER(KENKO[[#This Row],[DISC 1 (%)]]),KENKO[[#This Row],[DISC 1 (%)]],0)))</f>
        <v>12477888</v>
      </c>
      <c r="R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4" t="str">
        <f ca="1">IF(KENKO[[#This Row],[//]]="","",INDEX([6]!NOTA[NAMA BARANG],KENKO[[#This Row],[//]]-2))</f>
        <v>KENKO GEL PEN EASY GEL BLACK</v>
      </c>
      <c r="V67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7" s="4" t="s">
        <v>137</v>
      </c>
      <c r="X67" s="4" t="str">
        <f ca="1">IF(KENKO[[#This Row],[N.B.nota]]="","",ADDRESS(ROW(KENKO[QB]),COLUMN(KENKO[QB]))&amp;":"&amp;ADDRESS(ROW(),COLUMN(KENKO[QB])))</f>
        <v>$D$3:$D$67</v>
      </c>
      <c r="Y67" s="14" t="str">
        <f ca="1">IF(KENKO[[#This Row],[//]]="","",HYPERLINK("[..\\DB.xlsx]DB!e"&amp;MATCH(KENKO[[#This Row],[concat]],[4]!db[NB NOTA_C],0)+1,"&gt;"))</f>
        <v>&gt;</v>
      </c>
    </row>
    <row r="68" spans="1:25" x14ac:dyDescent="0.25">
      <c r="A68" s="4"/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NOTA]]="","",HYPERLINK("[NOTA_.xlsx]NOTA!e"&amp;INDEX([6]!PAJAK[//],MATCH(KENKO[[#This Row],[ID NOTA]],[6]!PAJAK[ID],0)),"&gt;") )</f>
        <v/>
      </c>
      <c r="D68" s="6" t="str">
        <f>IF(KENKO[[#This Row],[ID NOTA]]="","",INDEX(Table1[QB],MATCH(KENKO[[#This Row],[ID NOTA]],Table1[ID],0)))</f>
        <v/>
      </c>
      <c r="E6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356</v>
      </c>
      <c r="F68" s="6" t="str">
        <f>IF(KENKO[[#This Row],[NO. NOTA]]="","",INDEX([5]KE!$A:$A,MATCH(KENKO[[#This Row],[NO. NOTA]],[5]KE!$D:$D,0)))</f>
        <v/>
      </c>
      <c r="G68" s="3" t="str">
        <f>IF(KENKO[[#This Row],[ID NOTA]]="","",INDEX([6]!NOTA[TGL_H],MATCH(KENKO[[#This Row],[ID NOTA]],[6]!NOTA[ID],0)))</f>
        <v/>
      </c>
      <c r="H68" s="3" t="str">
        <f>IF(KENKO[[#This Row],[ID NOTA]]="","",INDEX([6]!NOTA[TGL.NOTA],MATCH(KENKO[[#This Row],[ID NOTA]],[6]!NOTA[ID],0)))</f>
        <v/>
      </c>
      <c r="I68" s="19" t="str">
        <f>IF(KENKO[[#This Row],[ID NOTA]]="","",INDEX([6]!NOTA[NO.NOTA],MATCH(KENKO[[#This Row],[ID NOTA]],[6]!NOTA[ID],0)))</f>
        <v/>
      </c>
      <c r="J68" s="4" t="s">
        <v>169</v>
      </c>
      <c r="K68" s="6" t="str">
        <f>""</f>
        <v/>
      </c>
      <c r="L68" s="6">
        <f ca="1">IF(KENKO[//]="","",IF(INDEX([6]!NOTA[QTY],KENKO[//]-2)="",INDEX([6]!NOTA[C],KENKO[//]-2),INDEX([6]!NOTA[QTY],KENKO[//]-2)))</f>
        <v>5</v>
      </c>
      <c r="M68" s="6" t="str">
        <f ca="1">IF(KENKO[//]="","",IF(INDEX([6]!NOTA[STN],KENKO[//]-2)="","CTN",INDEX([6]!NOTA[STN],KENKO[//]-2)))</f>
        <v>CTN</v>
      </c>
      <c r="N68" s="5">
        <f ca="1">IF(KENKO[[#This Row],[//]]="","",IF(INDEX([6]!NOTA[HARGA/ CTN],KENKO[[#This Row],[//]]-2)="",INDEX([6]!NOTA[HARGA SATUAN],KENKO[//]-2),INDEX([6]!NOTA[HARGA/ CTN],KENKO[[#This Row],[//]]-2)))</f>
        <v>3369600</v>
      </c>
      <c r="O68" s="8">
        <f ca="1">IF(KENKO[[#This Row],[//]]="","",INDEX([6]!NOTA[DISC 1],KENKO[[#This Row],[//]]-2))</f>
        <v>0.17</v>
      </c>
      <c r="P68" s="8">
        <f ca="1">IF(KENKO[[#This Row],[//]]="","",INDEX([6]!NOTA[DISC 2],KENKO[[#This Row],[//]]-2))</f>
        <v>0</v>
      </c>
      <c r="Q68" s="5">
        <f ca="1">IF(KENKO[[#This Row],[//]]="","",INDEX([6]!NOTA[JUMLAH],KENKO[[#This Row],[//]]-2)*(100%-IF(ISNUMBER(KENKO[[#This Row],[DISC 1 (%)]]),KENKO[[#This Row],[DISC 1 (%)]],0)))</f>
        <v>13983840</v>
      </c>
      <c r="R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4" t="str">
        <f ca="1">IF(KENKO[[#This Row],[//]]="","",INDEX([6]!NOTA[NAMA BARANG],KENKO[[#This Row],[//]]-2))</f>
        <v>KENKO GEL PEN KE-200 BLACK</v>
      </c>
      <c r="V68" s="4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68" s="4" t="s">
        <v>137</v>
      </c>
      <c r="X68" s="4" t="str">
        <f ca="1">IF(KENKO[[#This Row],[N.B.nota]]="","",ADDRESS(ROW(KENKO[QB]),COLUMN(KENKO[QB]))&amp;":"&amp;ADDRESS(ROW(),COLUMN(KENKO[QB])))</f>
        <v>$D$3:$D$68</v>
      </c>
      <c r="Y68" s="14" t="str">
        <f ca="1">IF(KENKO[[#This Row],[//]]="","",HYPERLINK("[..\\DB.xlsx]DB!e"&amp;MATCH(KENKO[[#This Row],[concat]],[4]!db[NB NOTA_C],0)+1,"&gt;"))</f>
        <v>&gt;</v>
      </c>
    </row>
    <row r="69" spans="1:25" x14ac:dyDescent="0.25">
      <c r="A69" s="4"/>
      <c r="B69" s="6" t="str">
        <f>IF(KENKO[[#This Row],[N_ID]]="","",INDEX(Table1[ID],MATCH(KENKO[[#This Row],[N_ID]],Table1[N_ID],0)))</f>
        <v/>
      </c>
      <c r="C69" s="6" t="str">
        <f>IF(KENKO[[#This Row],[ID NOTA]]="","",HYPERLINK("[NOTA_.xlsx]NOTA!e"&amp;INDEX([6]!PAJAK[//],MATCH(KENKO[[#This Row],[ID NOTA]],[6]!PAJAK[ID],0)),"&gt;") )</f>
        <v/>
      </c>
      <c r="D69" s="6" t="str">
        <f>IF(KENKO[[#This Row],[ID NOTA]]="","",INDEX(Table1[QB],MATCH(KENKO[[#This Row],[ID NOTA]],Table1[ID],0)))</f>
        <v/>
      </c>
      <c r="E6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357</v>
      </c>
      <c r="F69" s="6" t="str">
        <f>IF(KENKO[[#This Row],[NO. NOTA]]="","",INDEX([5]KE!$A:$A,MATCH(KENKO[[#This Row],[NO. NOTA]],[5]KE!$D:$D,0)))</f>
        <v/>
      </c>
      <c r="G69" s="3" t="str">
        <f>IF(KENKO[[#This Row],[ID NOTA]]="","",INDEX([6]!NOTA[TGL_H],MATCH(KENKO[[#This Row],[ID NOTA]],[6]!NOTA[ID],0)))</f>
        <v/>
      </c>
      <c r="H69" s="3" t="str">
        <f>IF(KENKO[[#This Row],[ID NOTA]]="","",INDEX([6]!NOTA[TGL.NOTA],MATCH(KENKO[[#This Row],[ID NOTA]],[6]!NOTA[ID],0)))</f>
        <v/>
      </c>
      <c r="I69" s="19" t="str">
        <f>IF(KENKO[[#This Row],[ID NOTA]]="","",INDEX([6]!NOTA[NO.NOTA],MATCH(KENKO[[#This Row],[ID NOTA]],[6]!NOTA[ID],0)))</f>
        <v/>
      </c>
      <c r="J69" s="4" t="s">
        <v>183</v>
      </c>
      <c r="K69" s="6" t="str">
        <f>""</f>
        <v/>
      </c>
      <c r="L69" s="6">
        <f ca="1">IF(KENKO[//]="","",IF(INDEX([6]!NOTA[QTY],KENKO[//]-2)="",INDEX([6]!NOTA[C],KENKO[//]-2),INDEX([6]!NOTA[QTY],KENKO[//]-2)))</f>
        <v>10</v>
      </c>
      <c r="M69" s="6" t="str">
        <f ca="1">IF(KENKO[//]="","",IF(INDEX([6]!NOTA[STN],KENKO[//]-2)="","CTN",INDEX([6]!NOTA[STN],KENKO[//]-2)))</f>
        <v>CTN</v>
      </c>
      <c r="N69" s="5">
        <f ca="1">IF(KENKO[[#This Row],[//]]="","",IF(INDEX([6]!NOTA[HARGA/ CTN],KENKO[[#This Row],[//]]-2)="",INDEX([6]!NOTA[HARGA SATUAN],KENKO[//]-2),INDEX([6]!NOTA[HARGA/ CTN],KENKO[[#This Row],[//]]-2)))</f>
        <v>1641600</v>
      </c>
      <c r="O69" s="8">
        <f ca="1">IF(KENKO[[#This Row],[//]]="","",INDEX([6]!NOTA[DISC 1],KENKO[[#This Row],[//]]-2))</f>
        <v>0.17</v>
      </c>
      <c r="P69" s="8">
        <f ca="1">IF(KENKO[[#This Row],[//]]="","",INDEX([6]!NOTA[DISC 2],KENKO[[#This Row],[//]]-2))</f>
        <v>0</v>
      </c>
      <c r="Q69" s="5">
        <f ca="1">IF(KENKO[[#This Row],[//]]="","",INDEX([6]!NOTA[JUMLAH],KENKO[[#This Row],[//]]-2)*(100%-IF(ISNUMBER(KENKO[[#This Row],[DISC 1 (%)]]),KENKO[[#This Row],[DISC 1 (%)]],0)))</f>
        <v>13625280</v>
      </c>
      <c r="R6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11408632</v>
      </c>
      <c r="S6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55700968</v>
      </c>
      <c r="T6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4" t="str">
        <f ca="1">IF(KENKO[[#This Row],[//]]="","",INDEX([6]!NOTA[NAMA BARANG],KENKO[[#This Row],[//]]-2))</f>
        <v>KENKO CORRECTION FLUID KE-108</v>
      </c>
      <c r="V69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69" s="4" t="s">
        <v>137</v>
      </c>
      <c r="X69" s="4" t="str">
        <f ca="1">IF(KENKO[[#This Row],[N.B.nota]]="","",ADDRESS(ROW(KENKO[QB]),COLUMN(KENKO[QB]))&amp;":"&amp;ADDRESS(ROW(),COLUMN(KENKO[QB])))</f>
        <v>$D$3:$D$69</v>
      </c>
      <c r="Y69" s="14" t="str">
        <f ca="1">IF(KENKO[[#This Row],[//]]="","",HYPERLINK("[..\\DB.xlsx]DB!e"&amp;MATCH(KENKO[[#This Row],[concat]],[4]!db[NB NOTA_C],0)+1,"&gt;"))</f>
        <v>&gt;</v>
      </c>
    </row>
    <row r="70" spans="1:25" x14ac:dyDescent="0.25">
      <c r="A70" s="4"/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NOTA]]="","",HYPERLINK("[NOTA_.xlsx]NOTA!e"&amp;INDEX([6]!PAJAK[//],MATCH(KENKO[[#This Row],[ID NOTA]],[6]!PAJAK[ID],0)),"&gt;") )</f>
        <v/>
      </c>
      <c r="D70" s="6" t="str">
        <f>IF(KENKO[[#This Row],[ID NOTA]]="","",INDEX(Table1[QB],MATCH(KENKO[[#This Row],[ID NOTA]],Table1[ID],0)))</f>
        <v/>
      </c>
      <c r="E70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0" s="6" t="str">
        <f>IF(KENKO[[#This Row],[NO. NOTA]]="","",INDEX([5]KE!$A:$A,MATCH(KENKO[[#This Row],[NO. NOTA]],[5]KE!$D:$D,0)))</f>
        <v/>
      </c>
      <c r="G70" s="3" t="str">
        <f>IF(KENKO[[#This Row],[ID NOTA]]="","",INDEX([6]!NOTA[TGL_H],MATCH(KENKO[[#This Row],[ID NOTA]],[6]!NOTA[ID],0)))</f>
        <v/>
      </c>
      <c r="H70" s="3" t="str">
        <f>IF(KENKO[[#This Row],[ID NOTA]]="","",INDEX([6]!NOTA[TGL.NOTA],MATCH(KENKO[[#This Row],[ID NOTA]],[6]!NOTA[ID],0)))</f>
        <v/>
      </c>
      <c r="I70" s="19" t="str">
        <f>IF(KENKO[[#This Row],[ID NOTA]]="","",INDEX([6]!NOTA[NO.NOTA],MATCH(KENKO[[#This Row],[ID NOTA]],[6]!NOTA[ID],0)))</f>
        <v/>
      </c>
      <c r="J70" s="4" t="s">
        <v>136</v>
      </c>
      <c r="K70" s="6" t="str">
        <f>""</f>
        <v/>
      </c>
      <c r="L70" s="6" t="str">
        <f ca="1">IF(KENKO[//]="","",IF(INDEX([6]!NOTA[QTY],KENKO[//]-2)="",INDEX([6]!NOTA[C],KENKO[//]-2),INDEX([6]!NOTA[QTY],KENKO[//]-2)))</f>
        <v/>
      </c>
      <c r="M70" s="6" t="str">
        <f ca="1">IF(KENKO[//]="","",IF(INDEX([6]!NOTA[STN],KENKO[//]-2)="","CTN",INDEX([6]!NOTA[STN],KENKO[//]-2)))</f>
        <v/>
      </c>
      <c r="N70" s="5" t="str">
        <f ca="1">IF(KENKO[[#This Row],[//]]="","",IF(INDEX([6]!NOTA[HARGA/ CTN],KENKO[[#This Row],[//]]-2)="",INDEX([6]!NOTA[HARGA SATUAN],KENKO[//]-2),INDEX([6]!NOTA[HARGA/ CTN],KENKO[[#This Row],[//]]-2)))</f>
        <v/>
      </c>
      <c r="O70" s="8" t="str">
        <f ca="1">IF(KENKO[[#This Row],[//]]="","",INDEX([6]!NOTA[DISC 1],KENKO[[#This Row],[//]]-2))</f>
        <v/>
      </c>
      <c r="P70" s="8" t="str">
        <f ca="1">IF(KENKO[[#This Row],[//]]="","",INDEX([6]!NOTA[DISC 2],KENKO[[#This Row],[//]]-2))</f>
        <v/>
      </c>
      <c r="Q70" s="5" t="str">
        <f ca="1">IF(KENKO[[#This Row],[//]]="","",INDEX([6]!NOTA[JUMLAH],KENKO[[#This Row],[//]]-2)*(100%-IF(ISNUMBER(KENKO[[#This Row],[DISC 1 (%)]]),KENKO[[#This Row],[DISC 1 (%)]],0)))</f>
        <v/>
      </c>
      <c r="R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4" t="str">
        <f ca="1">IF(KENKO[[#This Row],[//]]="","",INDEX([6]!NOTA[NAMA BARANG],KENKO[[#This Row],[//]]-2))</f>
        <v/>
      </c>
      <c r="V70" s="4" t="str">
        <f ca="1">LOWER(SUBSTITUTE(SUBSTITUTE(SUBSTITUTE(SUBSTITUTE(SUBSTITUTE(SUBSTITUTE(SUBSTITUTE(SUBSTITUTE(KENKO[[#This Row],[N.B.nota]]," ",""),"-",""),"(",""),")",""),".",""),",",""),"/",""),"""",""))</f>
        <v/>
      </c>
      <c r="W70" s="4" t="s">
        <v>136</v>
      </c>
      <c r="X70" s="4" t="str">
        <f ca="1">IF(KENKO[[#This Row],[N.B.nota]]="","",ADDRESS(ROW(KENKO[QB]),COLUMN(KENKO[QB]))&amp;":"&amp;ADDRESS(ROW(),COLUMN(KENKO[QB])))</f>
        <v/>
      </c>
      <c r="Y70" s="14" t="str">
        <f ca="1">IF(KENKO[[#This Row],[//]]="","",HYPERLINK("[..\\DB.xlsx]DB!e"&amp;MATCH(KENKO[[#This Row],[concat]],[4]!db[NB NOTA_C],0)+1,"&gt;"))</f>
        <v/>
      </c>
    </row>
    <row r="71" spans="1:25" x14ac:dyDescent="0.25">
      <c r="A71" s="4" t="s">
        <v>56</v>
      </c>
      <c r="B71" s="6">
        <f ca="1">IF(KENKO[[#This Row],[N_ID]]="","",INDEX(Table1[ID],MATCH(KENKO[[#This Row],[N_ID]],Table1[N_ID],0)))</f>
        <v>72</v>
      </c>
      <c r="C71" s="6" t="str">
        <f ca="1">IF(KENKO[[#This Row],[ID NOTA]]="","",HYPERLINK("[NOTA_.xlsx]NOTA!e"&amp;INDEX([6]!PAJAK[//],MATCH(KENKO[[#This Row],[ID NOTA]],[6]!PAJAK[ID],0)),"&gt;") )</f>
        <v>&gt;</v>
      </c>
      <c r="D71" s="6">
        <f ca="1">IF(KENKO[[#This Row],[ID NOTA]]="","",INDEX(Table1[QB],MATCH(KENKO[[#This Row],[ID NOTA]],Table1[ID],0)))</f>
        <v>1</v>
      </c>
      <c r="E7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359</v>
      </c>
      <c r="F71" s="6" t="e">
        <f ca="1">IF(KENKO[[#This Row],[NO. NOTA]]="","",INDEX([5]KE!$A:$A,MATCH(KENKO[[#This Row],[NO. NOTA]],[5]KE!$D:$D,0)))</f>
        <v>#N/A</v>
      </c>
      <c r="G71" s="3">
        <f ca="1">IF(KENKO[[#This Row],[ID NOTA]]="","",INDEX([6]!NOTA[TGL_H],MATCH(KENKO[[#This Row],[ID NOTA]],[6]!NOTA[ID],0)))</f>
        <v>44756</v>
      </c>
      <c r="H71" s="3">
        <f ca="1">IF(KENKO[[#This Row],[ID NOTA]]="","",INDEX([6]!NOTA[TGL.NOTA],MATCH(KENKO[[#This Row],[ID NOTA]],[6]!NOTA[ID],0)))</f>
        <v>44750</v>
      </c>
      <c r="I71" s="19" t="str">
        <f ca="1">IF(KENKO[[#This Row],[ID NOTA]]="","",INDEX([6]!NOTA[NO.NOTA],MATCH(KENKO[[#This Row],[ID NOTA]],[6]!NOTA[ID],0)))</f>
        <v>22070740</v>
      </c>
      <c r="J71" s="4" t="s">
        <v>180</v>
      </c>
      <c r="K71" s="6" t="str">
        <f>""</f>
        <v/>
      </c>
      <c r="L71" s="6">
        <f ca="1">IF(KENKO[//]="","",IF(INDEX([6]!NOTA[QTY],KENKO[//]-2)="",INDEX([6]!NOTA[C],KENKO[//]-2),INDEX([6]!NOTA[QTY],KENKO[//]-2)))</f>
        <v>5</v>
      </c>
      <c r="M71" s="6" t="str">
        <f ca="1">IF(KENKO[//]="","",IF(INDEX([6]!NOTA[STN],KENKO[//]-2)="","CTN",INDEX([6]!NOTA[STN],KENKO[//]-2)))</f>
        <v>CTN</v>
      </c>
      <c r="N71" s="5">
        <f ca="1">IF(KENKO[[#This Row],[//]]="","",IF(INDEX([6]!NOTA[HARGA/ CTN],KENKO[[#This Row],[//]]-2)="",INDEX([6]!NOTA[HARGA SATUAN],KENKO[//]-2),INDEX([6]!NOTA[HARGA/ CTN],KENKO[[#This Row],[//]]-2)))</f>
        <v>1740000</v>
      </c>
      <c r="O71" s="8">
        <f ca="1">IF(KENKO[[#This Row],[//]]="","",INDEX([6]!NOTA[DISC 1],KENKO[[#This Row],[//]]-2))</f>
        <v>0.17</v>
      </c>
      <c r="P71" s="8">
        <f ca="1">IF(KENKO[[#This Row],[//]]="","",INDEX([6]!NOTA[DISC 2],KENKO[[#This Row],[//]]-2))</f>
        <v>0</v>
      </c>
      <c r="Q71" s="5">
        <f ca="1">IF(KENKO[[#This Row],[//]]="","",INDEX([6]!NOTA[JUMLAH],KENKO[[#This Row],[//]]-2)*(100%-IF(ISNUMBER(KENKO[[#This Row],[DISC 1 (%)]]),KENKO[[#This Row],[DISC 1 (%)]],0)))</f>
        <v>7221000</v>
      </c>
      <c r="R7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1479000</v>
      </c>
      <c r="S7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7221000</v>
      </c>
      <c r="T7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4" t="str">
        <f ca="1">IF(KENKO[[#This Row],[//]]="","",INDEX([6]!NOTA[NAMA BARANG],KENKO[[#This Row],[//]]-2))</f>
        <v>KENKO STAPLER HD-10</v>
      </c>
      <c r="V71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71" s="4" t="s">
        <v>137</v>
      </c>
      <c r="X71" s="4" t="str">
        <f ca="1">IF(KENKO[[#This Row],[N.B.nota]]="","",ADDRESS(ROW(KENKO[QB]),COLUMN(KENKO[QB]))&amp;":"&amp;ADDRESS(ROW(),COLUMN(KENKO[QB])))</f>
        <v>$D$3:$D$71</v>
      </c>
      <c r="Y71" s="14" t="str">
        <f ca="1">IF(KENKO[[#This Row],[//]]="","",HYPERLINK("[..\\DB.xlsx]DB!e"&amp;MATCH(KENKO[[#This Row],[concat]],[4]!db[NB NOTA_C],0)+1,"&gt;"))</f>
        <v>&gt;</v>
      </c>
    </row>
    <row r="72" spans="1:25" x14ac:dyDescent="0.25">
      <c r="A72" s="4"/>
      <c r="B72" s="6" t="str">
        <f>IF(KENKO[[#This Row],[N_ID]]="","",INDEX(Table1[ID],MATCH(KENKO[[#This Row],[N_ID]],Table1[N_ID],0)))</f>
        <v/>
      </c>
      <c r="C72" s="6" t="str">
        <f>IF(KENKO[[#This Row],[ID NOTA]]="","",HYPERLINK("[NOTA_.xlsx]NOTA!e"&amp;INDEX([6]!PAJAK[//],MATCH(KENKO[[#This Row],[ID NOTA]],[6]!PAJAK[ID],0)),"&gt;") )</f>
        <v/>
      </c>
      <c r="D72" s="6" t="str">
        <f>IF(KENKO[[#This Row],[ID NOTA]]="","",INDEX(Table1[QB],MATCH(KENKO[[#This Row],[ID NOTA]],Table1[ID],0)))</f>
        <v/>
      </c>
      <c r="E7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2" s="6" t="str">
        <f>IF(KENKO[[#This Row],[NO. NOTA]]="","",INDEX([5]KE!$A:$A,MATCH(KENKO[[#This Row],[NO. NOTA]],[5]KE!$D:$D,0)))</f>
        <v/>
      </c>
      <c r="G72" s="3" t="str">
        <f>IF(KENKO[[#This Row],[ID NOTA]]="","",INDEX([6]!NOTA[TGL_H],MATCH(KENKO[[#This Row],[ID NOTA]],[6]!NOTA[ID],0)))</f>
        <v/>
      </c>
      <c r="H72" s="3" t="str">
        <f>IF(KENKO[[#This Row],[ID NOTA]]="","",INDEX([6]!NOTA[TGL.NOTA],MATCH(KENKO[[#This Row],[ID NOTA]],[6]!NOTA[ID],0)))</f>
        <v/>
      </c>
      <c r="I72" s="19" t="str">
        <f>IF(KENKO[[#This Row],[ID NOTA]]="","",INDEX([6]!NOTA[NO.NOTA],MATCH(KENKO[[#This Row],[ID NOTA]],[6]!NOTA[ID],0)))</f>
        <v/>
      </c>
      <c r="J72" s="4" t="s">
        <v>136</v>
      </c>
      <c r="K72" s="6" t="str">
        <f>""</f>
        <v/>
      </c>
      <c r="L72" s="6" t="str">
        <f ca="1">IF(KENKO[//]="","",IF(INDEX([6]!NOTA[QTY],KENKO[//]-2)="",INDEX([6]!NOTA[C],KENKO[//]-2),INDEX([6]!NOTA[QTY],KENKO[//]-2)))</f>
        <v/>
      </c>
      <c r="M72" s="6" t="str">
        <f ca="1">IF(KENKO[//]="","",IF(INDEX([6]!NOTA[STN],KENKO[//]-2)="","CTN",INDEX([6]!NOTA[STN],KENKO[//]-2)))</f>
        <v/>
      </c>
      <c r="N72" s="5" t="str">
        <f ca="1">IF(KENKO[[#This Row],[//]]="","",IF(INDEX([6]!NOTA[HARGA/ CTN],KENKO[[#This Row],[//]]-2)="",INDEX([6]!NOTA[HARGA SATUAN],KENKO[//]-2),INDEX([6]!NOTA[HARGA/ CTN],KENKO[[#This Row],[//]]-2)))</f>
        <v/>
      </c>
      <c r="O72" s="8" t="str">
        <f ca="1">IF(KENKO[[#This Row],[//]]="","",INDEX([6]!NOTA[DISC 1],KENKO[[#This Row],[//]]-2))</f>
        <v/>
      </c>
      <c r="P72" s="8" t="str">
        <f ca="1">IF(KENKO[[#This Row],[//]]="","",INDEX([6]!NOTA[DISC 2],KENKO[[#This Row],[//]]-2))</f>
        <v/>
      </c>
      <c r="Q72" s="5" t="str">
        <f ca="1">IF(KENKO[[#This Row],[//]]="","",INDEX([6]!NOTA[JUMLAH],KENKO[[#This Row],[//]]-2)*(100%-IF(ISNUMBER(KENKO[[#This Row],[DISC 1 (%)]]),KENKO[[#This Row],[DISC 1 (%)]],0)))</f>
        <v/>
      </c>
      <c r="R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4" t="str">
        <f ca="1">IF(KENKO[[#This Row],[//]]="","",INDEX([6]!NOTA[NAMA BARANG],KENKO[[#This Row],[//]]-2))</f>
        <v/>
      </c>
      <c r="V72" s="4" t="str">
        <f ca="1">LOWER(SUBSTITUTE(SUBSTITUTE(SUBSTITUTE(SUBSTITUTE(SUBSTITUTE(SUBSTITUTE(SUBSTITUTE(SUBSTITUTE(KENKO[[#This Row],[N.B.nota]]," ",""),"-",""),"(",""),")",""),".",""),",",""),"/",""),"""",""))</f>
        <v/>
      </c>
      <c r="W72" s="4" t="s">
        <v>136</v>
      </c>
      <c r="X72" s="4" t="str">
        <f ca="1">IF(KENKO[[#This Row],[N.B.nota]]="","",ADDRESS(ROW(KENKO[QB]),COLUMN(KENKO[QB]))&amp;":"&amp;ADDRESS(ROW(),COLUMN(KENKO[QB])))</f>
        <v/>
      </c>
      <c r="Y72" s="14" t="str">
        <f ca="1">IF(KENKO[[#This Row],[//]]="","",HYPERLINK("[..\\DB.xlsx]DB!e"&amp;MATCH(KENKO[[#This Row],[concat]],[4]!db[NB NOTA_C],0)+1,"&gt;"))</f>
        <v/>
      </c>
    </row>
    <row r="73" spans="1:25" x14ac:dyDescent="0.25">
      <c r="A73" s="4" t="s">
        <v>93</v>
      </c>
      <c r="B73" s="6">
        <f ca="1">IF(KENKO[[#This Row],[N_ID]]="","",INDEX(Table1[ID],MATCH(KENKO[[#This Row],[N_ID]],Table1[N_ID],0)))</f>
        <v>91</v>
      </c>
      <c r="C73" s="6" t="str">
        <f ca="1">IF(KENKO[[#This Row],[ID NOTA]]="","",HYPERLINK("[NOTA_.xlsx]NOTA!e"&amp;INDEX([6]!PAJAK[//],MATCH(KENKO[[#This Row],[ID NOTA]],[6]!PAJAK[ID],0)),"&gt;") )</f>
        <v>&gt;</v>
      </c>
      <c r="D73" s="6">
        <f ca="1">IF(KENKO[[#This Row],[ID NOTA]]="","",INDEX(Table1[QB],MATCH(KENKO[[#This Row],[ID NOTA]],Table1[ID],0)))</f>
        <v>8</v>
      </c>
      <c r="E7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452</v>
      </c>
      <c r="F73" s="6" t="e">
        <f ca="1">IF(KENKO[[#This Row],[NO. NOTA]]="","",INDEX([5]KE!$A:$A,MATCH(KENKO[[#This Row],[NO. NOTA]],[5]KE!$D:$D,0)))</f>
        <v>#N/A</v>
      </c>
      <c r="G73" s="3">
        <f ca="1">IF(KENKO[[#This Row],[ID NOTA]]="","",INDEX([6]!NOTA[TGL_H],MATCH(KENKO[[#This Row],[ID NOTA]],[6]!NOTA[ID],0)))</f>
        <v>44758</v>
      </c>
      <c r="H73" s="3">
        <f ca="1">IF(KENKO[[#This Row],[ID NOTA]]="","",INDEX([6]!NOTA[TGL.NOTA],MATCH(KENKO[[#This Row],[ID NOTA]],[6]!NOTA[ID],0)))</f>
        <v>44753</v>
      </c>
      <c r="I73" s="19" t="str">
        <f ca="1">IF(KENKO[[#This Row],[ID NOTA]]="","",INDEX([6]!NOTA[NO.NOTA],MATCH(KENKO[[#This Row],[ID NOTA]],[6]!NOTA[ID],0)))</f>
        <v>22070852</v>
      </c>
      <c r="J73" s="4" t="s">
        <v>201</v>
      </c>
      <c r="K73" s="6" t="str">
        <f>""</f>
        <v/>
      </c>
      <c r="L73" s="6">
        <f ca="1">IF(KENKO[//]="","",IF(INDEX([6]!NOTA[QTY],KENKO[//]-2)="",INDEX([6]!NOTA[C],KENKO[//]-2),INDEX([6]!NOTA[QTY],KENKO[//]-2)))</f>
        <v>10</v>
      </c>
      <c r="M73" s="6" t="str">
        <f ca="1">IF(KENKO[//]="","",IF(INDEX([6]!NOTA[STN],KENKO[//]-2)="","CTN",INDEX([6]!NOTA[STN],KENKO[//]-2)))</f>
        <v>CTN</v>
      </c>
      <c r="N73" s="5">
        <f ca="1">IF(KENKO[[#This Row],[//]]="","",IF(INDEX([6]!NOTA[HARGA/ CTN],KENKO[[#This Row],[//]]-2)="",INDEX([6]!NOTA[HARGA SATUAN],KENKO[//]-2),INDEX([6]!NOTA[HARGA/ CTN],KENKO[[#This Row],[//]]-2)))</f>
        <v>462000</v>
      </c>
      <c r="O73" s="8">
        <f ca="1">IF(KENKO[[#This Row],[//]]="","",INDEX([6]!NOTA[DISC 1],KENKO[[#This Row],[//]]-2))</f>
        <v>0.17</v>
      </c>
      <c r="P73" s="8">
        <f ca="1">IF(KENKO[[#This Row],[//]]="","",INDEX([6]!NOTA[DISC 2],KENKO[[#This Row],[//]]-2))</f>
        <v>0</v>
      </c>
      <c r="Q73" s="5">
        <f ca="1">IF(KENKO[[#This Row],[//]]="","",INDEX([6]!NOTA[JUMLAH],KENKO[[#This Row],[//]]-2)*(100%-IF(ISNUMBER(KENKO[[#This Row],[DISC 1 (%)]]),KENKO[[#This Row],[DISC 1 (%)]],0)))</f>
        <v>3834600</v>
      </c>
      <c r="R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4" t="str">
        <f ca="1">IF(KENKO[[#This Row],[//]]="","",INDEX([6]!NOTA[NAMA BARANG],KENKO[[#This Row],[//]]-2))</f>
        <v>KENKO TAPE DISPENSER TD-323 (1 &amp; 3 CORE)</v>
      </c>
      <c r="V7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73" s="4" t="s">
        <v>137</v>
      </c>
      <c r="X73" s="4" t="str">
        <f ca="1">IF(KENKO[[#This Row],[N.B.nota]]="","",ADDRESS(ROW(KENKO[QB]),COLUMN(KENKO[QB]))&amp;":"&amp;ADDRESS(ROW(),COLUMN(KENKO[QB])))</f>
        <v>$D$3:$D$73</v>
      </c>
      <c r="Y73" s="14" t="str">
        <f ca="1">IF(KENKO[[#This Row],[//]]="","",HYPERLINK("[..\\DB.xlsx]DB!e"&amp;MATCH(KENKO[[#This Row],[concat]],[4]!db[NB NOTA_C],0)+1,"&gt;"))</f>
        <v>&gt;</v>
      </c>
    </row>
    <row r="74" spans="1:25" x14ac:dyDescent="0.25">
      <c r="A74" s="4"/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NOTA]]="","",HYPERLINK("[NOTA_.xlsx]NOTA!e"&amp;INDEX([6]!PAJAK[//],MATCH(KENKO[[#This Row],[ID NOTA]],[6]!PAJAK[ID],0)),"&gt;") )</f>
        <v/>
      </c>
      <c r="D74" s="6" t="str">
        <f>IF(KENKO[[#This Row],[ID NOTA]]="","",INDEX(Table1[QB],MATCH(KENKO[[#This Row],[ID NOTA]],Table1[ID],0)))</f>
        <v/>
      </c>
      <c r="E7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453</v>
      </c>
      <c r="F74" s="6" t="str">
        <f>IF(KENKO[[#This Row],[NO. NOTA]]="","",INDEX([5]KE!$A:$A,MATCH(KENKO[[#This Row],[NO. NOTA]],[5]KE!$D:$D,0)))</f>
        <v/>
      </c>
      <c r="G74" s="3" t="str">
        <f>IF(KENKO[[#This Row],[ID NOTA]]="","",INDEX([6]!NOTA[TGL_H],MATCH(KENKO[[#This Row],[ID NOTA]],[6]!NOTA[ID],0)))</f>
        <v/>
      </c>
      <c r="H74" s="3" t="str">
        <f>IF(KENKO[[#This Row],[ID NOTA]]="","",INDEX([6]!NOTA[TGL.NOTA],MATCH(KENKO[[#This Row],[ID NOTA]],[6]!NOTA[ID],0)))</f>
        <v/>
      </c>
      <c r="I74" s="19" t="str">
        <f>IF(KENKO[[#This Row],[ID NOTA]]="","",INDEX([6]!NOTA[NO.NOTA],MATCH(KENKO[[#This Row],[ID NOTA]],[6]!NOTA[ID],0)))</f>
        <v/>
      </c>
      <c r="J74" s="4" t="s">
        <v>202</v>
      </c>
      <c r="K74" s="6" t="str">
        <f>""</f>
        <v/>
      </c>
      <c r="L74" s="6">
        <f ca="1">IF(KENKO[//]="","",IF(INDEX([6]!NOTA[QTY],KENKO[//]-2)="",INDEX([6]!NOTA[C],KENKO[//]-2),INDEX([6]!NOTA[QTY],KENKO[//]-2)))</f>
        <v>2</v>
      </c>
      <c r="M74" s="6" t="str">
        <f ca="1">IF(KENKO[//]="","",IF(INDEX([6]!NOTA[STN],KENKO[//]-2)="","CTN",INDEX([6]!NOTA[STN],KENKO[//]-2)))</f>
        <v>CTN</v>
      </c>
      <c r="N74" s="5">
        <f ca="1">IF(KENKO[[#This Row],[//]]="","",IF(INDEX([6]!NOTA[HARGA/ CTN],KENKO[[#This Row],[//]]-2)="",INDEX([6]!NOTA[HARGA SATUAN],KENKO[//]-2),INDEX([6]!NOTA[HARGA/ CTN],KENKO[[#This Row],[//]]-2)))</f>
        <v>2376000</v>
      </c>
      <c r="O74" s="8">
        <f ca="1">IF(KENKO[[#This Row],[//]]="","",INDEX([6]!NOTA[DISC 1],KENKO[[#This Row],[//]]-2))</f>
        <v>0.17</v>
      </c>
      <c r="P74" s="8">
        <f ca="1">IF(KENKO[[#This Row],[//]]="","",INDEX([6]!NOTA[DISC 2],KENKO[[#This Row],[//]]-2))</f>
        <v>0</v>
      </c>
      <c r="Q74" s="5">
        <f ca="1">IF(KENKO[[#This Row],[//]]="","",INDEX([6]!NOTA[JUMLAH],KENKO[[#This Row],[//]]-2)*(100%-IF(ISNUMBER(KENKO[[#This Row],[DISC 1 (%)]]),KENKO[[#This Row],[DISC 1 (%)]],0)))</f>
        <v>3944160</v>
      </c>
      <c r="R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4" t="str">
        <f ca="1">IF(KENKO[[#This Row],[//]]="","",INDEX([6]!NOTA[NAMA BARANG],KENKO[[#This Row],[//]]-2))</f>
        <v>KENKO GLUE STICK 8GR (SMALL)</v>
      </c>
      <c r="V74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4" s="4" t="s">
        <v>137</v>
      </c>
      <c r="X74" s="4" t="str">
        <f ca="1">IF(KENKO[[#This Row],[N.B.nota]]="","",ADDRESS(ROW(KENKO[QB]),COLUMN(KENKO[QB]))&amp;":"&amp;ADDRESS(ROW(),COLUMN(KENKO[QB])))</f>
        <v>$D$3:$D$74</v>
      </c>
      <c r="Y74" s="14" t="str">
        <f ca="1">IF(KENKO[[#This Row],[//]]="","",HYPERLINK("[..\\DB.xlsx]DB!e"&amp;MATCH(KENKO[[#This Row],[concat]],[4]!db[NB NOTA_C],0)+1,"&gt;"))</f>
        <v>&gt;</v>
      </c>
    </row>
    <row r="75" spans="1:25" x14ac:dyDescent="0.25">
      <c r="A75" s="4"/>
      <c r="B75" s="6" t="str">
        <f>IF(KENKO[[#This Row],[N_ID]]="","",INDEX(Table1[ID],MATCH(KENKO[[#This Row],[N_ID]],Table1[N_ID],0)))</f>
        <v/>
      </c>
      <c r="C75" s="6" t="str">
        <f>IF(KENKO[[#This Row],[ID NOTA]]="","",HYPERLINK("[NOTA_.xlsx]NOTA!e"&amp;INDEX([6]!PAJAK[//],MATCH(KENKO[[#This Row],[ID NOTA]],[6]!PAJAK[ID],0)),"&gt;") )</f>
        <v/>
      </c>
      <c r="D75" s="6" t="str">
        <f>IF(KENKO[[#This Row],[ID NOTA]]="","",INDEX(Table1[QB],MATCH(KENKO[[#This Row],[ID NOTA]],Table1[ID],0)))</f>
        <v/>
      </c>
      <c r="E7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454</v>
      </c>
      <c r="F75" s="6" t="str">
        <f>IF(KENKO[[#This Row],[NO. NOTA]]="","",INDEX([5]KE!$A:$A,MATCH(KENKO[[#This Row],[NO. NOTA]],[5]KE!$D:$D,0)))</f>
        <v/>
      </c>
      <c r="G75" s="3" t="str">
        <f>IF(KENKO[[#This Row],[ID NOTA]]="","",INDEX([6]!NOTA[TGL_H],MATCH(KENKO[[#This Row],[ID NOTA]],[6]!NOTA[ID],0)))</f>
        <v/>
      </c>
      <c r="H75" s="3" t="str">
        <f>IF(KENKO[[#This Row],[ID NOTA]]="","",INDEX([6]!NOTA[TGL.NOTA],MATCH(KENKO[[#This Row],[ID NOTA]],[6]!NOTA[ID],0)))</f>
        <v/>
      </c>
      <c r="I75" s="19" t="str">
        <f>IF(KENKO[[#This Row],[ID NOTA]]="","",INDEX([6]!NOTA[NO.NOTA],MATCH(KENKO[[#This Row],[ID NOTA]],[6]!NOTA[ID],0)))</f>
        <v/>
      </c>
      <c r="J75" s="4" t="s">
        <v>203</v>
      </c>
      <c r="K75" s="6" t="str">
        <f>""</f>
        <v/>
      </c>
      <c r="L75" s="6">
        <f ca="1">IF(KENKO[//]="","",IF(INDEX([6]!NOTA[QTY],KENKO[//]-2)="",INDEX([6]!NOTA[C],KENKO[//]-2),INDEX([6]!NOTA[QTY],KENKO[//]-2)))</f>
        <v>2</v>
      </c>
      <c r="M75" s="6" t="str">
        <f ca="1">IF(KENKO[//]="","",IF(INDEX([6]!NOTA[STN],KENKO[//]-2)="","CTN",INDEX([6]!NOTA[STN],KENKO[//]-2)))</f>
        <v>CTN</v>
      </c>
      <c r="N75" s="5">
        <f ca="1">IF(KENKO[[#This Row],[//]]="","",IF(INDEX([6]!NOTA[HARGA/ CTN],KENKO[[#This Row],[//]]-2)="",INDEX([6]!NOTA[HARGA SATUAN],KENKO[//]-2),INDEX([6]!NOTA[HARGA/ CTN],KENKO[[#This Row],[//]]-2)))</f>
        <v>2160000</v>
      </c>
      <c r="O75" s="8">
        <f ca="1">IF(KENKO[[#This Row],[//]]="","",INDEX([6]!NOTA[DISC 1],KENKO[[#This Row],[//]]-2))</f>
        <v>0.17</v>
      </c>
      <c r="P75" s="8">
        <f ca="1">IF(KENKO[[#This Row],[//]]="","",INDEX([6]!NOTA[DISC 2],KENKO[[#This Row],[//]]-2))</f>
        <v>0</v>
      </c>
      <c r="Q75" s="5">
        <f ca="1">IF(KENKO[[#This Row],[//]]="","",INDEX([6]!NOTA[JUMLAH],KENKO[[#This Row],[//]]-2)*(100%-IF(ISNUMBER(KENKO[[#This Row],[DISC 1 (%)]]),KENKO[[#This Row],[DISC 1 (%)]],0)))</f>
        <v>3585600</v>
      </c>
      <c r="R7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4" t="str">
        <f ca="1">IF(KENKO[[#This Row],[//]]="","",INDEX([6]!NOTA[NAMA BARANG],KENKO[[#This Row],[//]]-2))</f>
        <v>KENKO GLUE STICK 25GR (LARGE)</v>
      </c>
      <c r="V75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75" s="4" t="s">
        <v>137</v>
      </c>
      <c r="X75" s="4" t="str">
        <f ca="1">IF(KENKO[[#This Row],[N.B.nota]]="","",ADDRESS(ROW(KENKO[QB]),COLUMN(KENKO[QB]))&amp;":"&amp;ADDRESS(ROW(),COLUMN(KENKO[QB])))</f>
        <v>$D$3:$D$75</v>
      </c>
      <c r="Y75" s="14" t="str">
        <f ca="1">IF(KENKO[[#This Row],[//]]="","",HYPERLINK("[..\\DB.xlsx]DB!e"&amp;MATCH(KENKO[[#This Row],[concat]],[4]!db[NB NOTA_C],0)+1,"&gt;"))</f>
        <v>&gt;</v>
      </c>
    </row>
    <row r="76" spans="1:25" x14ac:dyDescent="0.25">
      <c r="A76" s="4"/>
      <c r="B76" s="6" t="str">
        <f>IF(KENKO[[#This Row],[N_ID]]="","",INDEX(Table1[ID],MATCH(KENKO[[#This Row],[N_ID]],Table1[N_ID],0)))</f>
        <v/>
      </c>
      <c r="C76" s="6" t="str">
        <f>IF(KENKO[[#This Row],[ID NOTA]]="","",HYPERLINK("[NOTA_.xlsx]NOTA!e"&amp;INDEX([6]!PAJAK[//],MATCH(KENKO[[#This Row],[ID NOTA]],[6]!PAJAK[ID],0)),"&gt;") )</f>
        <v/>
      </c>
      <c r="D76" s="6" t="str">
        <f>IF(KENKO[[#This Row],[ID NOTA]]="","",INDEX(Table1[QB],MATCH(KENKO[[#This Row],[ID NOTA]],Table1[ID],0)))</f>
        <v/>
      </c>
      <c r="E7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455</v>
      </c>
      <c r="F76" s="6" t="str">
        <f>IF(KENKO[[#This Row],[NO. NOTA]]="","",INDEX([5]KE!$A:$A,MATCH(KENKO[[#This Row],[NO. NOTA]],[5]KE!$D:$D,0)))</f>
        <v/>
      </c>
      <c r="G76" s="3" t="str">
        <f>IF(KENKO[[#This Row],[ID NOTA]]="","",INDEX([6]!NOTA[TGL_H],MATCH(KENKO[[#This Row],[ID NOTA]],[6]!NOTA[ID],0)))</f>
        <v/>
      </c>
      <c r="H76" s="3" t="str">
        <f>IF(KENKO[[#This Row],[ID NOTA]]="","",INDEX([6]!NOTA[TGL.NOTA],MATCH(KENKO[[#This Row],[ID NOTA]],[6]!NOTA[ID],0)))</f>
        <v/>
      </c>
      <c r="I76" s="19" t="str">
        <f>IF(KENKO[[#This Row],[ID NOTA]]="","",INDEX([6]!NOTA[NO.NOTA],MATCH(KENKO[[#This Row],[ID NOTA]],[6]!NOTA[ID],0)))</f>
        <v/>
      </c>
      <c r="J76" s="4" t="s">
        <v>204</v>
      </c>
      <c r="K76" s="6" t="str">
        <f>""</f>
        <v/>
      </c>
      <c r="L76" s="6">
        <f ca="1">IF(KENKO[//]="","",IF(INDEX([6]!NOTA[QTY],KENKO[//]-2)="",INDEX([6]!NOTA[C],KENKO[//]-2),INDEX([6]!NOTA[QTY],KENKO[//]-2)))</f>
        <v>1</v>
      </c>
      <c r="M76" s="6" t="str">
        <f ca="1">IF(KENKO[//]="","",IF(INDEX([6]!NOTA[STN],KENKO[//]-2)="","CTN",INDEX([6]!NOTA[STN],KENKO[//]-2)))</f>
        <v>CTN</v>
      </c>
      <c r="N76" s="5">
        <f ca="1">IF(KENKO[[#This Row],[//]]="","",IF(INDEX([6]!NOTA[HARGA/ CTN],KENKO[[#This Row],[//]]-2)="",INDEX([6]!NOTA[HARGA SATUAN],KENKO[//]-2),INDEX([6]!NOTA[HARGA/ CTN],KENKO[[#This Row],[//]]-2)))</f>
        <v>420000</v>
      </c>
      <c r="O76" s="8">
        <f ca="1">IF(KENKO[[#This Row],[//]]="","",INDEX([6]!NOTA[DISC 1],KENKO[[#This Row],[//]]-2))</f>
        <v>0.17</v>
      </c>
      <c r="P76" s="8">
        <f ca="1">IF(KENKO[[#This Row],[//]]="","",INDEX([6]!NOTA[DISC 2],KENKO[[#This Row],[//]]-2))</f>
        <v>0</v>
      </c>
      <c r="Q76" s="5">
        <f ca="1">IF(KENKO[[#This Row],[//]]="","",INDEX([6]!NOTA[JUMLAH],KENKO[[#This Row],[//]]-2)*(100%-IF(ISNUMBER(KENKO[[#This Row],[DISC 1 (%)]]),KENKO[[#This Row],[DISC 1 (%)]],0)))</f>
        <v>348600</v>
      </c>
      <c r="R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4" t="str">
        <f ca="1">IF(KENKO[[#This Row],[//]]="","",INDEX([6]!NOTA[NAMA BARANG],KENKO[[#This Row],[//]]-2))</f>
        <v>KENKO TAPE DISPENSER TD-501 (1" CORE)</v>
      </c>
      <c r="V76" s="4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76" s="4" t="s">
        <v>137</v>
      </c>
      <c r="X76" s="4" t="str">
        <f ca="1">IF(KENKO[[#This Row],[N.B.nota]]="","",ADDRESS(ROW(KENKO[QB]),COLUMN(KENKO[QB]))&amp;":"&amp;ADDRESS(ROW(),COLUMN(KENKO[QB])))</f>
        <v>$D$3:$D$76</v>
      </c>
      <c r="Y76" s="14" t="str">
        <f ca="1">IF(KENKO[[#This Row],[//]]="","",HYPERLINK("[..\\DB.xlsx]DB!e"&amp;MATCH(KENKO[[#This Row],[concat]],[4]!db[NB NOTA_C],0)+1,"&gt;"))</f>
        <v>&gt;</v>
      </c>
    </row>
    <row r="77" spans="1:25" x14ac:dyDescent="0.25">
      <c r="A77" s="4"/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NOTA]]="","",HYPERLINK("[NOTA_.xlsx]NOTA!e"&amp;INDEX([6]!PAJAK[//],MATCH(KENKO[[#This Row],[ID NOTA]],[6]!PAJAK[ID],0)),"&gt;") )</f>
        <v/>
      </c>
      <c r="D77" s="6" t="str">
        <f>IF(KENKO[[#This Row],[ID NOTA]]="","",INDEX(Table1[QB],MATCH(KENKO[[#This Row],[ID NOTA]],Table1[ID],0)))</f>
        <v/>
      </c>
      <c r="E7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456</v>
      </c>
      <c r="F77" s="6" t="str">
        <f>IF(KENKO[[#This Row],[NO. NOTA]]="","",INDEX([5]KE!$A:$A,MATCH(KENKO[[#This Row],[NO. NOTA]],[5]KE!$D:$D,0)))</f>
        <v/>
      </c>
      <c r="G77" s="3" t="str">
        <f>IF(KENKO[[#This Row],[ID NOTA]]="","",INDEX([6]!NOTA[TGL_H],MATCH(KENKO[[#This Row],[ID NOTA]],[6]!NOTA[ID],0)))</f>
        <v/>
      </c>
      <c r="H77" s="3" t="str">
        <f>IF(KENKO[[#This Row],[ID NOTA]]="","",INDEX([6]!NOTA[TGL.NOTA],MATCH(KENKO[[#This Row],[ID NOTA]],[6]!NOTA[ID],0)))</f>
        <v/>
      </c>
      <c r="I77" s="19" t="str">
        <f>IF(KENKO[[#This Row],[ID NOTA]]="","",INDEX([6]!NOTA[NO.NOTA],MATCH(KENKO[[#This Row],[ID NOTA]],[6]!NOTA[ID],0)))</f>
        <v/>
      </c>
      <c r="J77" s="4" t="s">
        <v>205</v>
      </c>
      <c r="K77" s="6" t="str">
        <f>""</f>
        <v/>
      </c>
      <c r="L77" s="6">
        <f ca="1">IF(KENKO[//]="","",IF(INDEX([6]!NOTA[QTY],KENKO[//]-2)="",INDEX([6]!NOTA[C],KENKO[//]-2),INDEX([6]!NOTA[QTY],KENKO[//]-2)))</f>
        <v>1</v>
      </c>
      <c r="M77" s="6" t="str">
        <f ca="1">IF(KENKO[//]="","",IF(INDEX([6]!NOTA[STN],KENKO[//]-2)="","CTN",INDEX([6]!NOTA[STN],KENKO[//]-2)))</f>
        <v>CTN</v>
      </c>
      <c r="N77" s="5">
        <f ca="1">IF(KENKO[[#This Row],[//]]="","",IF(INDEX([6]!NOTA[HARGA/ CTN],KENKO[[#This Row],[//]]-2)="",INDEX([6]!NOTA[HARGA SATUAN],KENKO[//]-2),INDEX([6]!NOTA[HARGA/ CTN],KENKO[[#This Row],[//]]-2)))</f>
        <v>342000</v>
      </c>
      <c r="O77" s="8">
        <f ca="1">IF(KENKO[[#This Row],[//]]="","",INDEX([6]!NOTA[DISC 1],KENKO[[#This Row],[//]]-2))</f>
        <v>0.17</v>
      </c>
      <c r="P77" s="8">
        <f ca="1">IF(KENKO[[#This Row],[//]]="","",INDEX([6]!NOTA[DISC 2],KENKO[[#This Row],[//]]-2))</f>
        <v>0</v>
      </c>
      <c r="Q77" s="5">
        <f ca="1">IF(KENKO[[#This Row],[//]]="","",INDEX([6]!NOTA[JUMLAH],KENKO[[#This Row],[//]]-2)*(100%-IF(ISNUMBER(KENKO[[#This Row],[DISC 1 (%)]]),KENKO[[#This Row],[DISC 1 (%)]],0)))</f>
        <v>283860</v>
      </c>
      <c r="R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4" t="str">
        <f ca="1">IF(KENKO[[#This Row],[//]]="","",INDEX([6]!NOTA[NAMA BARANG],KENKO[[#This Row],[//]]-2))</f>
        <v>KENKO TAPE DISPENSER TD-503 (3" CORE)</v>
      </c>
      <c r="V77" s="4" t="str">
        <f ca="1">LOWER(SUBSTITUTE(SUBSTITUTE(SUBSTITUTE(SUBSTITUTE(SUBSTITUTE(SUBSTITUTE(SUBSTITUTE(SUBSTITUTE(KENKO[[#This Row],[N.B.nota]]," ",""),"-",""),"(",""),")",""),".",""),",",""),"/",""),"""",""))</f>
        <v>kenkotapedispensertd5033core</v>
      </c>
      <c r="W77" s="4" t="s">
        <v>137</v>
      </c>
      <c r="X77" s="4" t="str">
        <f ca="1">IF(KENKO[[#This Row],[N.B.nota]]="","",ADDRESS(ROW(KENKO[QB]),COLUMN(KENKO[QB]))&amp;":"&amp;ADDRESS(ROW(),COLUMN(KENKO[QB])))</f>
        <v>$D$3:$D$77</v>
      </c>
      <c r="Y77" s="14" t="str">
        <f ca="1">IF(KENKO[[#This Row],[//]]="","",HYPERLINK("[..\\DB.xlsx]DB!e"&amp;MATCH(KENKO[[#This Row],[concat]],[4]!db[NB NOTA_C],0)+1,"&gt;"))</f>
        <v>&gt;</v>
      </c>
    </row>
    <row r="78" spans="1:25" x14ac:dyDescent="0.25">
      <c r="A78" s="4"/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NOTA]]="","",HYPERLINK("[NOTA_.xlsx]NOTA!e"&amp;INDEX([6]!PAJAK[//],MATCH(KENKO[[#This Row],[ID NOTA]],[6]!PAJAK[ID],0)),"&gt;") )</f>
        <v/>
      </c>
      <c r="D78" s="6" t="str">
        <f>IF(KENKO[[#This Row],[ID NOTA]]="","",INDEX(Table1[QB],MATCH(KENKO[[#This Row],[ID NOTA]],Table1[ID],0)))</f>
        <v/>
      </c>
      <c r="E7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457</v>
      </c>
      <c r="F78" s="6" t="str">
        <f>IF(KENKO[[#This Row],[NO. NOTA]]="","",INDEX([5]KE!$A:$A,MATCH(KENKO[[#This Row],[NO. NOTA]],[5]KE!$D:$D,0)))</f>
        <v/>
      </c>
      <c r="G78" s="3" t="str">
        <f>IF(KENKO[[#This Row],[ID NOTA]]="","",INDEX([6]!NOTA[TGL_H],MATCH(KENKO[[#This Row],[ID NOTA]],[6]!NOTA[ID],0)))</f>
        <v/>
      </c>
      <c r="H78" s="3" t="str">
        <f>IF(KENKO[[#This Row],[ID NOTA]]="","",INDEX([6]!NOTA[TGL.NOTA],MATCH(KENKO[[#This Row],[ID NOTA]],[6]!NOTA[ID],0)))</f>
        <v/>
      </c>
      <c r="I78" s="19" t="str">
        <f>IF(KENKO[[#This Row],[ID NOTA]]="","",INDEX([6]!NOTA[NO.NOTA],MATCH(KENKO[[#This Row],[ID NOTA]],[6]!NOTA[ID],0)))</f>
        <v/>
      </c>
      <c r="J78" s="4" t="s">
        <v>174</v>
      </c>
      <c r="K78" s="6" t="str">
        <f>""</f>
        <v/>
      </c>
      <c r="L78" s="6">
        <f ca="1">IF(KENKO[//]="","",IF(INDEX([6]!NOTA[QTY],KENKO[//]-2)="",INDEX([6]!NOTA[C],KENKO[//]-2),INDEX([6]!NOTA[QTY],KENKO[//]-2)))</f>
        <v>2</v>
      </c>
      <c r="M78" s="6" t="str">
        <f ca="1">IF(KENKO[//]="","",IF(INDEX([6]!NOTA[STN],KENKO[//]-2)="","CTN",INDEX([6]!NOTA[STN],KENKO[//]-2)))</f>
        <v>CTN</v>
      </c>
      <c r="N78" s="5">
        <f ca="1">IF(KENKO[[#This Row],[//]]="","",IF(INDEX([6]!NOTA[HARGA/ CTN],KENKO[[#This Row],[//]]-2)="",INDEX([6]!NOTA[HARGA SATUAN],KENKO[//]-2),INDEX([6]!NOTA[HARGA/ CTN],KENKO[[#This Row],[//]]-2)))</f>
        <v>3758400</v>
      </c>
      <c r="O78" s="8">
        <f ca="1">IF(KENKO[[#This Row],[//]]="","",INDEX([6]!NOTA[DISC 1],KENKO[[#This Row],[//]]-2))</f>
        <v>0.17</v>
      </c>
      <c r="P78" s="8">
        <f ca="1">IF(KENKO[[#This Row],[//]]="","",INDEX([6]!NOTA[DISC 2],KENKO[[#This Row],[//]]-2))</f>
        <v>0</v>
      </c>
      <c r="Q78" s="5">
        <f ca="1">IF(KENKO[[#This Row],[//]]="","",INDEX([6]!NOTA[JUMLAH],KENKO[[#This Row],[//]]-2)*(100%-IF(ISNUMBER(KENKO[[#This Row],[DISC 1 (%)]]),KENKO[[#This Row],[DISC 1 (%)]],0)))</f>
        <v>6238944</v>
      </c>
      <c r="R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4" t="str">
        <f ca="1">IF(KENKO[[#This Row],[//]]="","",INDEX([6]!NOTA[NAMA BARANG],KENKO[[#This Row],[//]]-2))</f>
        <v>KENKO GEL PEN WINJELLER KE-600 BLACK</v>
      </c>
      <c r="V78" s="4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78" s="4" t="s">
        <v>137</v>
      </c>
      <c r="X78" s="4" t="str">
        <f ca="1">IF(KENKO[[#This Row],[N.B.nota]]="","",ADDRESS(ROW(KENKO[QB]),COLUMN(KENKO[QB]))&amp;":"&amp;ADDRESS(ROW(),COLUMN(KENKO[QB])))</f>
        <v>$D$3:$D$78</v>
      </c>
      <c r="Y78" s="14" t="str">
        <f ca="1">IF(KENKO[[#This Row],[//]]="","",HYPERLINK("[..\\DB.xlsx]DB!e"&amp;MATCH(KENKO[[#This Row],[concat]],[4]!db[NB NOTA_C],0)+1,"&gt;"))</f>
        <v>&gt;</v>
      </c>
    </row>
    <row r="79" spans="1:25" x14ac:dyDescent="0.25">
      <c r="A79" s="4"/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NOTA]]="","",HYPERLINK("[NOTA_.xlsx]NOTA!e"&amp;INDEX([6]!PAJAK[//],MATCH(KENKO[[#This Row],[ID NOTA]],[6]!PAJAK[ID],0)),"&gt;") )</f>
        <v/>
      </c>
      <c r="D79" s="6" t="str">
        <f>IF(KENKO[[#This Row],[ID NOTA]]="","",INDEX(Table1[QB],MATCH(KENKO[[#This Row],[ID NOTA]],Table1[ID],0)))</f>
        <v/>
      </c>
      <c r="E7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458</v>
      </c>
      <c r="F79" s="6" t="str">
        <f>IF(KENKO[[#This Row],[NO. NOTA]]="","",INDEX([5]KE!$A:$A,MATCH(KENKO[[#This Row],[NO. NOTA]],[5]KE!$D:$D,0)))</f>
        <v/>
      </c>
      <c r="G79" s="3" t="str">
        <f>IF(KENKO[[#This Row],[ID NOTA]]="","",INDEX([6]!NOTA[TGL_H],MATCH(KENKO[[#This Row],[ID NOTA]],[6]!NOTA[ID],0)))</f>
        <v/>
      </c>
      <c r="H79" s="3" t="str">
        <f>IF(KENKO[[#This Row],[ID NOTA]]="","",INDEX([6]!NOTA[TGL.NOTA],MATCH(KENKO[[#This Row],[ID NOTA]],[6]!NOTA[ID],0)))</f>
        <v/>
      </c>
      <c r="I79" s="19" t="str">
        <f>IF(KENKO[[#This Row],[ID NOTA]]="","",INDEX([6]!NOTA[NO.NOTA],MATCH(KENKO[[#This Row],[ID NOTA]],[6]!NOTA[ID],0)))</f>
        <v/>
      </c>
      <c r="J79" s="4" t="s">
        <v>167</v>
      </c>
      <c r="K79" s="6" t="str">
        <f>""</f>
        <v/>
      </c>
      <c r="L79" s="6">
        <f ca="1">IF(KENKO[//]="","",IF(INDEX([6]!NOTA[QTY],KENKO[//]-2)="",INDEX([6]!NOTA[C],KENKO[//]-2),INDEX([6]!NOTA[QTY],KENKO[//]-2)))</f>
        <v>5</v>
      </c>
      <c r="M79" s="6" t="str">
        <f ca="1">IF(KENKO[//]="","",IF(INDEX([6]!NOTA[STN],KENKO[//]-2)="","CTN",INDEX([6]!NOTA[STN],KENKO[//]-2)))</f>
        <v>CTN</v>
      </c>
      <c r="N79" s="5">
        <f ca="1">IF(KENKO[[#This Row],[//]]="","",IF(INDEX([6]!NOTA[HARGA/ CTN],KENKO[[#This Row],[//]]-2)="",INDEX([6]!NOTA[HARGA SATUAN],KENKO[//]-2),INDEX([6]!NOTA[HARGA/ CTN],KENKO[[#This Row],[//]]-2)))</f>
        <v>1900800</v>
      </c>
      <c r="O79" s="8">
        <f ca="1">IF(KENKO[[#This Row],[//]]="","",INDEX([6]!NOTA[DISC 1],KENKO[[#This Row],[//]]-2))</f>
        <v>0.17</v>
      </c>
      <c r="P79" s="8">
        <f ca="1">IF(KENKO[[#This Row],[//]]="","",INDEX([6]!NOTA[DISC 2],KENKO[[#This Row],[//]]-2))</f>
        <v>0</v>
      </c>
      <c r="Q79" s="5">
        <f ca="1">IF(KENKO[[#This Row],[//]]="","",INDEX([6]!NOTA[JUMLAH],KENKO[[#This Row],[//]]-2)*(100%-IF(ISNUMBER(KENKO[[#This Row],[DISC 1 (%)]]),KENKO[[#This Row],[DISC 1 (%)]],0)))</f>
        <v>7888320</v>
      </c>
      <c r="R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4" t="str">
        <f ca="1">IF(KENKO[[#This Row],[//]]="","",INDEX([6]!NOTA[NAMA BARANG],KENKO[[#This Row],[//]]-2))</f>
        <v>KENKO CORRECTION FLUID KE-01</v>
      </c>
      <c r="V79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9" s="4" t="s">
        <v>137</v>
      </c>
      <c r="X79" s="4" t="str">
        <f ca="1">IF(KENKO[[#This Row],[N.B.nota]]="","",ADDRESS(ROW(KENKO[QB]),COLUMN(KENKO[QB]))&amp;":"&amp;ADDRESS(ROW(),COLUMN(KENKO[QB])))</f>
        <v>$D$3:$D$79</v>
      </c>
      <c r="Y79" s="14" t="str">
        <f ca="1">IF(KENKO[[#This Row],[//]]="","",HYPERLINK("[..\\DB.xlsx]DB!e"&amp;MATCH(KENKO[[#This Row],[concat]],[4]!db[NB NOTA_C],0)+1,"&gt;"))</f>
        <v>&gt;</v>
      </c>
    </row>
    <row r="80" spans="1:25" x14ac:dyDescent="0.25">
      <c r="A80" s="4"/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NOTA]]="","",HYPERLINK("[NOTA_.xlsx]NOTA!e"&amp;INDEX([6]!PAJAK[//],MATCH(KENKO[[#This Row],[ID NOTA]],[6]!PAJAK[ID],0)),"&gt;") )</f>
        <v/>
      </c>
      <c r="D80" s="6" t="str">
        <f>IF(KENKO[[#This Row],[ID NOTA]]="","",INDEX(Table1[QB],MATCH(KENKO[[#This Row],[ID NOTA]],Table1[ID],0)))</f>
        <v/>
      </c>
      <c r="E8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459</v>
      </c>
      <c r="F80" s="6" t="str">
        <f>IF(KENKO[[#This Row],[NO. NOTA]]="","",INDEX([5]KE!$A:$A,MATCH(KENKO[[#This Row],[NO. NOTA]],[5]KE!$D:$D,0)))</f>
        <v/>
      </c>
      <c r="G80" s="3" t="str">
        <f>IF(KENKO[[#This Row],[ID NOTA]]="","",INDEX([6]!NOTA[TGL_H],MATCH(KENKO[[#This Row],[ID NOTA]],[6]!NOTA[ID],0)))</f>
        <v/>
      </c>
      <c r="H80" s="3" t="str">
        <f>IF(KENKO[[#This Row],[ID NOTA]]="","",INDEX([6]!NOTA[TGL.NOTA],MATCH(KENKO[[#This Row],[ID NOTA]],[6]!NOTA[ID],0)))</f>
        <v/>
      </c>
      <c r="I80" s="19" t="str">
        <f>IF(KENKO[[#This Row],[ID NOTA]]="","",INDEX([6]!NOTA[NO.NOTA],MATCH(KENKO[[#This Row],[ID NOTA]],[6]!NOTA[ID],0)))</f>
        <v/>
      </c>
      <c r="J80" s="4" t="s">
        <v>206</v>
      </c>
      <c r="K80" s="6" t="str">
        <f>""</f>
        <v/>
      </c>
      <c r="L80" s="6">
        <f ca="1">IF(KENKO[//]="","",IF(INDEX([6]!NOTA[QTY],KENKO[//]-2)="",INDEX([6]!NOTA[C],KENKO[//]-2),INDEX([6]!NOTA[QTY],KENKO[//]-2)))</f>
        <v>3</v>
      </c>
      <c r="M80" s="6" t="str">
        <f ca="1">IF(KENKO[//]="","",IF(INDEX([6]!NOTA[STN],KENKO[//]-2)="","CTN",INDEX([6]!NOTA[STN],KENKO[//]-2)))</f>
        <v>CTN</v>
      </c>
      <c r="N80" s="5">
        <f ca="1">IF(KENKO[[#This Row],[//]]="","",IF(INDEX([6]!NOTA[HARGA/ CTN],KENKO[[#This Row],[//]]-2)="",INDEX([6]!NOTA[HARGA SATUAN],KENKO[//]-2),INDEX([6]!NOTA[HARGA/ CTN],KENKO[[#This Row],[//]]-2)))</f>
        <v>1954800</v>
      </c>
      <c r="O80" s="8">
        <f ca="1">IF(KENKO[[#This Row],[//]]="","",INDEX([6]!NOTA[DISC 1],KENKO[[#This Row],[//]]-2))</f>
        <v>0.17</v>
      </c>
      <c r="P80" s="8">
        <f ca="1">IF(KENKO[[#This Row],[//]]="","",INDEX([6]!NOTA[DISC 2],KENKO[[#This Row],[//]]-2))</f>
        <v>0</v>
      </c>
      <c r="Q80" s="5">
        <f ca="1">IF(KENKO[[#This Row],[//]]="","",INDEX([6]!NOTA[JUMLAH],KENKO[[#This Row],[//]]-2)*(100%-IF(ISNUMBER(KENKO[[#This Row],[DISC 1 (%)]]),KENKO[[#This Row],[DISC 1 (%)]],0)))</f>
        <v>4867452</v>
      </c>
      <c r="R8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6347664</v>
      </c>
      <c r="S8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30991536</v>
      </c>
      <c r="T8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4" t="str">
        <f ca="1">IF(KENKO[[#This Row],[//]]="","",INDEX([6]!NOTA[NAMA BARANG],KENKO[[#This Row],[//]]-2))</f>
        <v>KENKO CORRECTION FLUID KE-107M</v>
      </c>
      <c r="V80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4" t="s">
        <v>137</v>
      </c>
      <c r="X80" s="4" t="str">
        <f ca="1">IF(KENKO[[#This Row],[N.B.nota]]="","",ADDRESS(ROW(KENKO[QB]),COLUMN(KENKO[QB]))&amp;":"&amp;ADDRESS(ROW(),COLUMN(KENKO[QB])))</f>
        <v>$D$3:$D$80</v>
      </c>
      <c r="Y80" s="14" t="str">
        <f ca="1">IF(KENKO[[#This Row],[//]]="","",HYPERLINK("[..\\DB.xlsx]DB!e"&amp;MATCH(KENKO[[#This Row],[concat]],[4]!db[NB NOTA_C],0)+1,"&gt;"))</f>
        <v>&gt;</v>
      </c>
    </row>
    <row r="81" spans="1:25" x14ac:dyDescent="0.25">
      <c r="A81" s="4"/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NOTA]]="","",HYPERLINK("[NOTA_.xlsx]NOTA!e"&amp;INDEX([6]!PAJAK[//],MATCH(KENKO[[#This Row],[ID NOTA]],[6]!PAJAK[ID],0)),"&gt;") )</f>
        <v/>
      </c>
      <c r="D81" s="6" t="str">
        <f>IF(KENKO[[#This Row],[ID NOTA]]="","",INDEX(Table1[QB],MATCH(KENKO[[#This Row],[ID NOTA]],Table1[ID],0)))</f>
        <v/>
      </c>
      <c r="E8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1" s="6" t="str">
        <f>IF(KENKO[[#This Row],[NO. NOTA]]="","",INDEX([5]KE!$A:$A,MATCH(KENKO[[#This Row],[NO. NOTA]],[5]KE!$D:$D,0)))</f>
        <v/>
      </c>
      <c r="G81" s="3" t="str">
        <f>IF(KENKO[[#This Row],[ID NOTA]]="","",INDEX([6]!NOTA[TGL_H],MATCH(KENKO[[#This Row],[ID NOTA]],[6]!NOTA[ID],0)))</f>
        <v/>
      </c>
      <c r="H81" s="3" t="str">
        <f>IF(KENKO[[#This Row],[ID NOTA]]="","",INDEX([6]!NOTA[TGL.NOTA],MATCH(KENKO[[#This Row],[ID NOTA]],[6]!NOTA[ID],0)))</f>
        <v/>
      </c>
      <c r="I81" s="19" t="str">
        <f>IF(KENKO[[#This Row],[ID NOTA]]="","",INDEX([6]!NOTA[NO.NOTA],MATCH(KENKO[[#This Row],[ID NOTA]],[6]!NOTA[ID],0)))</f>
        <v/>
      </c>
      <c r="J81" s="4" t="s">
        <v>136</v>
      </c>
      <c r="K81" s="6" t="str">
        <f>""</f>
        <v/>
      </c>
      <c r="L81" s="6" t="str">
        <f ca="1">IF(KENKO[//]="","",IF(INDEX([6]!NOTA[QTY],KENKO[//]-2)="",INDEX([6]!NOTA[C],KENKO[//]-2),INDEX([6]!NOTA[QTY],KENKO[//]-2)))</f>
        <v/>
      </c>
      <c r="M81" s="6" t="str">
        <f ca="1">IF(KENKO[//]="","",IF(INDEX([6]!NOTA[STN],KENKO[//]-2)="","CTN",INDEX([6]!NOTA[STN],KENKO[//]-2)))</f>
        <v/>
      </c>
      <c r="N81" s="5" t="str">
        <f ca="1">IF(KENKO[[#This Row],[//]]="","",IF(INDEX([6]!NOTA[HARGA/ CTN],KENKO[[#This Row],[//]]-2)="",INDEX([6]!NOTA[HARGA SATUAN],KENKO[//]-2),INDEX([6]!NOTA[HARGA/ CTN],KENKO[[#This Row],[//]]-2)))</f>
        <v/>
      </c>
      <c r="O81" s="8" t="str">
        <f ca="1">IF(KENKO[[#This Row],[//]]="","",INDEX([6]!NOTA[DISC 1],KENKO[[#This Row],[//]]-2))</f>
        <v/>
      </c>
      <c r="P81" s="8" t="str">
        <f ca="1">IF(KENKO[[#This Row],[//]]="","",INDEX([6]!NOTA[DISC 2],KENKO[[#This Row],[//]]-2))</f>
        <v/>
      </c>
      <c r="Q81" s="5" t="str">
        <f ca="1">IF(KENKO[[#This Row],[//]]="","",INDEX([6]!NOTA[JUMLAH],KENKO[[#This Row],[//]]-2)*(100%-IF(ISNUMBER(KENKO[[#This Row],[DISC 1 (%)]]),KENKO[[#This Row],[DISC 1 (%)]],0)))</f>
        <v/>
      </c>
      <c r="R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4" t="str">
        <f ca="1">IF(KENKO[[#This Row],[//]]="","",INDEX([6]!NOTA[NAMA BARANG],KENKO[[#This Row],[//]]-2))</f>
        <v/>
      </c>
      <c r="V81" s="4" t="str">
        <f ca="1">LOWER(SUBSTITUTE(SUBSTITUTE(SUBSTITUTE(SUBSTITUTE(SUBSTITUTE(SUBSTITUTE(SUBSTITUTE(SUBSTITUTE(KENKO[[#This Row],[N.B.nota]]," ",""),"-",""),"(",""),")",""),".",""),",",""),"/",""),"""",""))</f>
        <v/>
      </c>
      <c r="W81" s="4" t="s">
        <v>136</v>
      </c>
      <c r="X81" s="4" t="str">
        <f ca="1">IF(KENKO[[#This Row],[N.B.nota]]="","",ADDRESS(ROW(KENKO[QB]),COLUMN(KENKO[QB]))&amp;":"&amp;ADDRESS(ROW(),COLUMN(KENKO[QB])))</f>
        <v/>
      </c>
      <c r="Y81" s="14" t="str">
        <f ca="1">IF(KENKO[[#This Row],[//]]="","",HYPERLINK("[..\\DB.xlsx]DB!e"&amp;MATCH(KENKO[[#This Row],[concat]],[4]!db[NB NOTA_C],0)+1,"&gt;"))</f>
        <v/>
      </c>
    </row>
    <row r="82" spans="1:25" x14ac:dyDescent="0.25">
      <c r="A82" s="4" t="s">
        <v>94</v>
      </c>
      <c r="B82" s="6">
        <f ca="1">IF(KENKO[[#This Row],[N_ID]]="","",INDEX(Table1[ID],MATCH(KENKO[[#This Row],[N_ID]],Table1[N_ID],0)))</f>
        <v>90</v>
      </c>
      <c r="C82" s="6" t="str">
        <f ca="1">IF(KENKO[[#This Row],[ID NOTA]]="","",HYPERLINK("[NOTA_.xlsx]NOTA!e"&amp;INDEX([6]!PAJAK[//],MATCH(KENKO[[#This Row],[ID NOTA]],[6]!PAJAK[ID],0)),"&gt;") )</f>
        <v>&gt;</v>
      </c>
      <c r="D82" s="6">
        <f ca="1">IF(KENKO[[#This Row],[ID NOTA]]="","",INDEX(Table1[QB],MATCH(KENKO[[#This Row],[ID NOTA]],Table1[ID],0)))</f>
        <v>1</v>
      </c>
      <c r="E8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450</v>
      </c>
      <c r="F82" s="6" t="e">
        <f ca="1">IF(KENKO[[#This Row],[NO. NOTA]]="","",INDEX([5]KE!$A:$A,MATCH(KENKO[[#This Row],[NO. NOTA]],[5]KE!$D:$D,0)))</f>
        <v>#N/A</v>
      </c>
      <c r="G82" s="3">
        <f ca="1">IF(KENKO[[#This Row],[ID NOTA]]="","",INDEX([6]!NOTA[TGL_H],MATCH(KENKO[[#This Row],[ID NOTA]],[6]!NOTA[ID],0)))</f>
        <v>44758</v>
      </c>
      <c r="H82" s="3">
        <f ca="1">IF(KENKO[[#This Row],[ID NOTA]]="","",INDEX([6]!NOTA[TGL.NOTA],MATCH(KENKO[[#This Row],[ID NOTA]],[6]!NOTA[ID],0)))</f>
        <v>44753</v>
      </c>
      <c r="I82" s="19" t="str">
        <f ca="1">IF(KENKO[[#This Row],[ID NOTA]]="","",INDEX([6]!NOTA[NO.NOTA],MATCH(KENKO[[#This Row],[ID NOTA]],[6]!NOTA[ID],0)))</f>
        <v>22070867</v>
      </c>
      <c r="J82" s="4" t="s">
        <v>207</v>
      </c>
      <c r="K82" s="6" t="str">
        <f>""</f>
        <v/>
      </c>
      <c r="L82" s="6">
        <f ca="1">IF(KENKO[//]="","",IF(INDEX([6]!NOTA[QTY],KENKO[//]-2)="",INDEX([6]!NOTA[C],KENKO[//]-2),INDEX([6]!NOTA[QTY],KENKO[//]-2)))</f>
        <v>5</v>
      </c>
      <c r="M82" s="6" t="str">
        <f ca="1">IF(KENKO[//]="","",IF(INDEX([6]!NOTA[STN],KENKO[//]-2)="","CTN",INDEX([6]!NOTA[STN],KENKO[//]-2)))</f>
        <v>CTN</v>
      </c>
      <c r="N82" s="5">
        <f ca="1">IF(KENKO[[#This Row],[//]]="","",IF(INDEX([6]!NOTA[HARGA/ CTN],KENKO[[#This Row],[//]]-2)="",INDEX([6]!NOTA[HARGA SATUAN],KENKO[//]-2),INDEX([6]!NOTA[HARGA/ CTN],KENKO[[#This Row],[//]]-2)))</f>
        <v>1050000</v>
      </c>
      <c r="O82" s="8">
        <f ca="1">IF(KENKO[[#This Row],[//]]="","",INDEX([6]!NOTA[DISC 1],KENKO[[#This Row],[//]]-2))</f>
        <v>0.17</v>
      </c>
      <c r="P82" s="8">
        <f ca="1">IF(KENKO[[#This Row],[//]]="","",INDEX([6]!NOTA[DISC 2],KENKO[[#This Row],[//]]-2))</f>
        <v>0</v>
      </c>
      <c r="Q82" s="5">
        <f ca="1">IF(KENKO[[#This Row],[//]]="","",INDEX([6]!NOTA[JUMLAH],KENKO[[#This Row],[//]]-2)*(100%-IF(ISNUMBER(KENKO[[#This Row],[DISC 1 (%)]]),KENKO[[#This Row],[DISC 1 (%)]],0)))</f>
        <v>4357500</v>
      </c>
      <c r="R8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892500.00000000012</v>
      </c>
      <c r="S8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4357500</v>
      </c>
      <c r="T8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4" t="str">
        <f ca="1">IF(KENKO[[#This Row],[//]]="","",INDEX([6]!NOTA[NAMA BARANG],KENKO[[#This Row],[//]]-2))</f>
        <v>KENKO PRICE LABEL 6001-2R (1 LINE) @ 10 ROL</v>
      </c>
      <c r="V82" s="4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82" s="4" t="s">
        <v>137</v>
      </c>
      <c r="X82" s="4" t="str">
        <f ca="1">IF(KENKO[[#This Row],[N.B.nota]]="","",ADDRESS(ROW(KENKO[QB]),COLUMN(KENKO[QB]))&amp;":"&amp;ADDRESS(ROW(),COLUMN(KENKO[QB])))</f>
        <v>$D$3:$D$82</v>
      </c>
      <c r="Y82" s="14" t="str">
        <f ca="1">IF(KENKO[[#This Row],[//]]="","",HYPERLINK("[..\\DB.xlsx]DB!e"&amp;MATCH(KENKO[[#This Row],[concat]],[4]!db[NB NOTA_C],0)+1,"&gt;"))</f>
        <v>&gt;</v>
      </c>
    </row>
    <row r="83" spans="1:25" x14ac:dyDescent="0.25">
      <c r="A83" s="4"/>
      <c r="B83" s="6" t="str">
        <f>IF(KENKO[[#This Row],[N_ID]]="","",INDEX(Table1[ID],MATCH(KENKO[[#This Row],[N_ID]],Table1[N_ID],0)))</f>
        <v/>
      </c>
      <c r="C83" s="6" t="str">
        <f>IF(KENKO[[#This Row],[ID NOTA]]="","",HYPERLINK("[NOTA_.xlsx]NOTA!e"&amp;INDEX([6]!PAJAK[//],MATCH(KENKO[[#This Row],[ID NOTA]],[6]!PAJAK[ID],0)),"&gt;") )</f>
        <v/>
      </c>
      <c r="D83" s="6" t="str">
        <f>IF(KENKO[[#This Row],[ID NOTA]]="","",INDEX(Table1[QB],MATCH(KENKO[[#This Row],[ID NOTA]],Table1[ID],0)))</f>
        <v/>
      </c>
      <c r="E8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3" s="6" t="str">
        <f>IF(KENKO[[#This Row],[NO. NOTA]]="","",INDEX([5]KE!$A:$A,MATCH(KENKO[[#This Row],[NO. NOTA]],[5]KE!$D:$D,0)))</f>
        <v/>
      </c>
      <c r="G83" s="3" t="str">
        <f>IF(KENKO[[#This Row],[ID NOTA]]="","",INDEX([6]!NOTA[TGL_H],MATCH(KENKO[[#This Row],[ID NOTA]],[6]!NOTA[ID],0)))</f>
        <v/>
      </c>
      <c r="H83" s="3" t="str">
        <f>IF(KENKO[[#This Row],[ID NOTA]]="","",INDEX([6]!NOTA[TGL.NOTA],MATCH(KENKO[[#This Row],[ID NOTA]],[6]!NOTA[ID],0)))</f>
        <v/>
      </c>
      <c r="I83" s="19" t="str">
        <f>IF(KENKO[[#This Row],[ID NOTA]]="","",INDEX([6]!NOTA[NO.NOTA],MATCH(KENKO[[#This Row],[ID NOTA]],[6]!NOTA[ID],0)))</f>
        <v/>
      </c>
      <c r="J83" s="4" t="s">
        <v>136</v>
      </c>
      <c r="K83" s="6" t="str">
        <f>""</f>
        <v/>
      </c>
      <c r="L83" s="6" t="str">
        <f ca="1">IF(KENKO[//]="","",IF(INDEX([6]!NOTA[QTY],KENKO[//]-2)="",INDEX([6]!NOTA[C],KENKO[//]-2),INDEX([6]!NOTA[QTY],KENKO[//]-2)))</f>
        <v/>
      </c>
      <c r="M83" s="6" t="str">
        <f ca="1">IF(KENKO[//]="","",IF(INDEX([6]!NOTA[STN],KENKO[//]-2)="","CTN",INDEX([6]!NOTA[STN],KENKO[//]-2)))</f>
        <v/>
      </c>
      <c r="N83" s="5" t="str">
        <f ca="1">IF(KENKO[[#This Row],[//]]="","",IF(INDEX([6]!NOTA[HARGA/ CTN],KENKO[[#This Row],[//]]-2)="",INDEX([6]!NOTA[HARGA SATUAN],KENKO[//]-2),INDEX([6]!NOTA[HARGA/ CTN],KENKO[[#This Row],[//]]-2)))</f>
        <v/>
      </c>
      <c r="O83" s="8" t="str">
        <f ca="1">IF(KENKO[[#This Row],[//]]="","",INDEX([6]!NOTA[DISC 1],KENKO[[#This Row],[//]]-2))</f>
        <v/>
      </c>
      <c r="P83" s="8" t="str">
        <f ca="1">IF(KENKO[[#This Row],[//]]="","",INDEX([6]!NOTA[DISC 2],KENKO[[#This Row],[//]]-2))</f>
        <v/>
      </c>
      <c r="Q83" s="5" t="str">
        <f ca="1">IF(KENKO[[#This Row],[//]]="","",INDEX([6]!NOTA[JUMLAH],KENKO[[#This Row],[//]]-2)*(100%-IF(ISNUMBER(KENKO[[#This Row],[DISC 1 (%)]]),KENKO[[#This Row],[DISC 1 (%)]],0)))</f>
        <v/>
      </c>
      <c r="R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4" t="str">
        <f ca="1">IF(KENKO[[#This Row],[//]]="","",INDEX([6]!NOTA[NAMA BARANG],KENKO[[#This Row],[//]]-2))</f>
        <v/>
      </c>
      <c r="V83" s="4" t="str">
        <f ca="1">LOWER(SUBSTITUTE(SUBSTITUTE(SUBSTITUTE(SUBSTITUTE(SUBSTITUTE(SUBSTITUTE(SUBSTITUTE(SUBSTITUTE(KENKO[[#This Row],[N.B.nota]]," ",""),"-",""),"(",""),")",""),".",""),",",""),"/",""),"""",""))</f>
        <v/>
      </c>
      <c r="W83" s="4" t="s">
        <v>136</v>
      </c>
      <c r="X83" s="4" t="str">
        <f ca="1">IF(KENKO[[#This Row],[N.B.nota]]="","",ADDRESS(ROW(KENKO[QB]),COLUMN(KENKO[QB]))&amp;":"&amp;ADDRESS(ROW(),COLUMN(KENKO[QB])))</f>
        <v/>
      </c>
      <c r="Y83" s="14" t="str">
        <f ca="1">IF(KENKO[[#This Row],[//]]="","",HYPERLINK("[..\\DB.xlsx]DB!e"&amp;MATCH(KENKO[[#This Row],[concat]],[4]!db[NB NOTA_C],0)+1,"&gt;"))</f>
        <v/>
      </c>
    </row>
    <row r="84" spans="1:25" x14ac:dyDescent="0.25">
      <c r="A84" s="4" t="s">
        <v>95</v>
      </c>
      <c r="B84" s="6">
        <f ca="1">IF(KENKO[[#This Row],[N_ID]]="","",INDEX(Table1[ID],MATCH(KENKO[[#This Row],[N_ID]],Table1[N_ID],0)))</f>
        <v>92</v>
      </c>
      <c r="C84" s="6" t="str">
        <f ca="1">IF(KENKO[[#This Row],[ID NOTA]]="","",HYPERLINK("[NOTA_.xlsx]NOTA!e"&amp;INDEX([6]!PAJAK[//],MATCH(KENKO[[#This Row],[ID NOTA]],[6]!PAJAK[ID],0)),"&gt;") )</f>
        <v>&gt;</v>
      </c>
      <c r="D84" s="6">
        <f ca="1">IF(KENKO[[#This Row],[ID NOTA]]="","",INDEX(Table1[QB],MATCH(KENKO[[#This Row],[ID NOTA]],Table1[ID],0)))</f>
        <v>10</v>
      </c>
      <c r="E8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461</v>
      </c>
      <c r="F84" s="6" t="e">
        <f ca="1">IF(KENKO[[#This Row],[NO. NOTA]]="","",INDEX([5]KE!$A:$A,MATCH(KENKO[[#This Row],[NO. NOTA]],[5]KE!$D:$D,0)))</f>
        <v>#N/A</v>
      </c>
      <c r="G84" s="3">
        <f ca="1">IF(KENKO[[#This Row],[ID NOTA]]="","",INDEX([6]!NOTA[TGL_H],MATCH(KENKO[[#This Row],[ID NOTA]],[6]!NOTA[ID],0)))</f>
        <v>44758</v>
      </c>
      <c r="H84" s="3">
        <f ca="1">IF(KENKO[[#This Row],[ID NOTA]]="","",INDEX([6]!NOTA[TGL.NOTA],MATCH(KENKO[[#This Row],[ID NOTA]],[6]!NOTA[ID],0)))</f>
        <v>44754</v>
      </c>
      <c r="I84" s="19" t="str">
        <f ca="1">IF(KENKO[[#This Row],[ID NOTA]]="","",INDEX([6]!NOTA[NO.NOTA],MATCH(KENKO[[#This Row],[ID NOTA]],[6]!NOTA[ID],0)))</f>
        <v>22070969</v>
      </c>
      <c r="J84" s="4" t="s">
        <v>193</v>
      </c>
      <c r="K84" s="6" t="str">
        <f>""</f>
        <v/>
      </c>
      <c r="L84" s="6">
        <f ca="1">IF(KENKO[//]="","",IF(INDEX([6]!NOTA[QTY],KENKO[//]-2)="",INDEX([6]!NOTA[C],KENKO[//]-2),INDEX([6]!NOTA[QTY],KENKO[//]-2)))</f>
        <v>1</v>
      </c>
      <c r="M84" s="6" t="str">
        <f ca="1">IF(KENKO[//]="","",IF(INDEX([6]!NOTA[STN],KENKO[//]-2)="","CTN",INDEX([6]!NOTA[STN],KENKO[//]-2)))</f>
        <v>CTN</v>
      </c>
      <c r="N84" s="5">
        <f ca="1">IF(KENKO[[#This Row],[//]]="","",IF(INDEX([6]!NOTA[HARGA/ CTN],KENKO[[#This Row],[//]]-2)="",INDEX([6]!NOTA[HARGA SATUAN],KENKO[//]-2),INDEX([6]!NOTA[HARGA/ CTN],KENKO[[#This Row],[//]]-2)))</f>
        <v>1440000</v>
      </c>
      <c r="O84" s="8">
        <f ca="1">IF(KENKO[[#This Row],[//]]="","",INDEX([6]!NOTA[DISC 1],KENKO[[#This Row],[//]]-2))</f>
        <v>0.17</v>
      </c>
      <c r="P84" s="8">
        <f ca="1">IF(KENKO[[#This Row],[//]]="","",INDEX([6]!NOTA[DISC 2],KENKO[[#This Row],[//]]-2))</f>
        <v>0</v>
      </c>
      <c r="Q84" s="5">
        <f ca="1">IF(KENKO[[#This Row],[//]]="","",INDEX([6]!NOTA[JUMLAH],KENKO[[#This Row],[//]]-2)*(100%-IF(ISNUMBER(KENKO[[#This Row],[DISC 1 (%)]]),KENKO[[#This Row],[DISC 1 (%)]],0)))</f>
        <v>1195200</v>
      </c>
      <c r="R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4" t="str">
        <f ca="1">IF(KENKO[[#This Row],[//]]="","",INDEX([6]!NOTA[NAMA BARANG],KENKO[[#This Row],[//]]-2))</f>
        <v>KENKO BINDER CLIP NO.105</v>
      </c>
      <c r="V84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84" s="4" t="s">
        <v>137</v>
      </c>
      <c r="X84" s="4" t="str">
        <f ca="1">IF(KENKO[[#This Row],[N.B.nota]]="","",ADDRESS(ROW(KENKO[QB]),COLUMN(KENKO[QB]))&amp;":"&amp;ADDRESS(ROW(),COLUMN(KENKO[QB])))</f>
        <v>$D$3:$D$84</v>
      </c>
      <c r="Y84" s="14" t="str">
        <f ca="1">IF(KENKO[[#This Row],[//]]="","",HYPERLINK("[..\\DB.xlsx]DB!e"&amp;MATCH(KENKO[[#This Row],[concat]],[4]!db[NB NOTA_C],0)+1,"&gt;"))</f>
        <v>&gt;</v>
      </c>
    </row>
    <row r="85" spans="1:25" x14ac:dyDescent="0.25">
      <c r="A85" s="4"/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NOTA]]="","",HYPERLINK("[NOTA_.xlsx]NOTA!e"&amp;INDEX([6]!PAJAK[//],MATCH(KENKO[[#This Row],[ID NOTA]],[6]!PAJAK[ID],0)),"&gt;") )</f>
        <v/>
      </c>
      <c r="D85" s="6" t="str">
        <f>IF(KENKO[[#This Row],[ID NOTA]]="","",INDEX(Table1[QB],MATCH(KENKO[[#This Row],[ID NOTA]],Table1[ID],0)))</f>
        <v/>
      </c>
      <c r="E8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462</v>
      </c>
      <c r="F85" s="6" t="str">
        <f>IF(KENKO[[#This Row],[NO. NOTA]]="","",INDEX([5]KE!$A:$A,MATCH(KENKO[[#This Row],[NO. NOTA]],[5]KE!$D:$D,0)))</f>
        <v/>
      </c>
      <c r="G85" s="3" t="str">
        <f>IF(KENKO[[#This Row],[ID NOTA]]="","",INDEX([6]!NOTA[TGL_H],MATCH(KENKO[[#This Row],[ID NOTA]],[6]!NOTA[ID],0)))</f>
        <v/>
      </c>
      <c r="H85" s="3" t="str">
        <f>IF(KENKO[[#This Row],[ID NOTA]]="","",INDEX([6]!NOTA[TGL.NOTA],MATCH(KENKO[[#This Row],[ID NOTA]],[6]!NOTA[ID],0)))</f>
        <v/>
      </c>
      <c r="I85" s="19" t="str">
        <f>IF(KENKO[[#This Row],[ID NOTA]]="","",INDEX([6]!NOTA[NO.NOTA],MATCH(KENKO[[#This Row],[ID NOTA]],[6]!NOTA[ID],0)))</f>
        <v/>
      </c>
      <c r="J85" s="4" t="s">
        <v>194</v>
      </c>
      <c r="K85" s="6" t="str">
        <f>""</f>
        <v/>
      </c>
      <c r="L85" s="6">
        <f ca="1">IF(KENKO[//]="","",IF(INDEX([6]!NOTA[QTY],KENKO[//]-2)="",INDEX([6]!NOTA[C],KENKO[//]-2),INDEX([6]!NOTA[QTY],KENKO[//]-2)))</f>
        <v>1</v>
      </c>
      <c r="M85" s="6" t="str">
        <f ca="1">IF(KENKO[//]="","",IF(INDEX([6]!NOTA[STN],KENKO[//]-2)="","CTN",INDEX([6]!NOTA[STN],KENKO[//]-2)))</f>
        <v>CTN</v>
      </c>
      <c r="N85" s="5">
        <f ca="1">IF(KENKO[[#This Row],[//]]="","",IF(INDEX([6]!NOTA[HARGA/ CTN],KENKO[[#This Row],[//]]-2)="",INDEX([6]!NOTA[HARGA SATUAN],KENKO[//]-2),INDEX([6]!NOTA[HARGA/ CTN],KENKO[[#This Row],[//]]-2)))</f>
        <v>1590000</v>
      </c>
      <c r="O85" s="8">
        <f ca="1">IF(KENKO[[#This Row],[//]]="","",INDEX([6]!NOTA[DISC 1],KENKO[[#This Row],[//]]-2))</f>
        <v>0.17</v>
      </c>
      <c r="P85" s="8">
        <f ca="1">IF(KENKO[[#This Row],[//]]="","",INDEX([6]!NOTA[DISC 2],KENKO[[#This Row],[//]]-2))</f>
        <v>0</v>
      </c>
      <c r="Q85" s="5">
        <f ca="1">IF(KENKO[[#This Row],[//]]="","",INDEX([6]!NOTA[JUMLAH],KENKO[[#This Row],[//]]-2)*(100%-IF(ISNUMBER(KENKO[[#This Row],[DISC 1 (%)]]),KENKO[[#This Row],[DISC 1 (%)]],0)))</f>
        <v>1319700</v>
      </c>
      <c r="R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4" t="str">
        <f ca="1">IF(KENKO[[#This Row],[//]]="","",INDEX([6]!NOTA[NAMA BARANG],KENKO[[#This Row],[//]]-2))</f>
        <v>KENKO BINDER CLIP NO.107</v>
      </c>
      <c r="V85" s="4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85" s="4" t="s">
        <v>137</v>
      </c>
      <c r="X85" s="4" t="str">
        <f ca="1">IF(KENKO[[#This Row],[N.B.nota]]="","",ADDRESS(ROW(KENKO[QB]),COLUMN(KENKO[QB]))&amp;":"&amp;ADDRESS(ROW(),COLUMN(KENKO[QB])))</f>
        <v>$D$3:$D$85</v>
      </c>
      <c r="Y85" s="14" t="str">
        <f ca="1">IF(KENKO[[#This Row],[//]]="","",HYPERLINK("[..\\DB.xlsx]DB!e"&amp;MATCH(KENKO[[#This Row],[concat]],[4]!db[NB NOTA_C],0)+1,"&gt;"))</f>
        <v>&gt;</v>
      </c>
    </row>
    <row r="86" spans="1:25" x14ac:dyDescent="0.25">
      <c r="A86" s="4"/>
      <c r="B86" s="6" t="str">
        <f>IF(KENKO[[#This Row],[N_ID]]="","",INDEX(Table1[ID],MATCH(KENKO[[#This Row],[N_ID]],Table1[N_ID],0)))</f>
        <v/>
      </c>
      <c r="C86" s="6" t="str">
        <f>IF(KENKO[[#This Row],[ID NOTA]]="","",HYPERLINK("[NOTA_.xlsx]NOTA!e"&amp;INDEX([6]!PAJAK[//],MATCH(KENKO[[#This Row],[ID NOTA]],[6]!PAJAK[ID],0)),"&gt;") )</f>
        <v/>
      </c>
      <c r="D86" s="6" t="str">
        <f>IF(KENKO[[#This Row],[ID NOTA]]="","",INDEX(Table1[QB],MATCH(KENKO[[#This Row],[ID NOTA]],Table1[ID],0)))</f>
        <v/>
      </c>
      <c r="E8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463</v>
      </c>
      <c r="F86" s="6" t="str">
        <f>IF(KENKO[[#This Row],[NO. NOTA]]="","",INDEX([5]KE!$A:$A,MATCH(KENKO[[#This Row],[NO. NOTA]],[5]KE!$D:$D,0)))</f>
        <v/>
      </c>
      <c r="G86" s="3" t="str">
        <f>IF(KENKO[[#This Row],[ID NOTA]]="","",INDEX([6]!NOTA[TGL_H],MATCH(KENKO[[#This Row],[ID NOTA]],[6]!NOTA[ID],0)))</f>
        <v/>
      </c>
      <c r="H86" s="3" t="str">
        <f>IF(KENKO[[#This Row],[ID NOTA]]="","",INDEX([6]!NOTA[TGL.NOTA],MATCH(KENKO[[#This Row],[ID NOTA]],[6]!NOTA[ID],0)))</f>
        <v/>
      </c>
      <c r="I86" s="19" t="str">
        <f>IF(KENKO[[#This Row],[ID NOTA]]="","",INDEX([6]!NOTA[NO.NOTA],MATCH(KENKO[[#This Row],[ID NOTA]],[6]!NOTA[ID],0)))</f>
        <v/>
      </c>
      <c r="J86" s="4" t="s">
        <v>208</v>
      </c>
      <c r="K86" s="6" t="str">
        <f>""</f>
        <v/>
      </c>
      <c r="L86" s="6">
        <f ca="1">IF(KENKO[//]="","",IF(INDEX([6]!NOTA[QTY],KENKO[//]-2)="",INDEX([6]!NOTA[C],KENKO[//]-2),INDEX([6]!NOTA[QTY],KENKO[//]-2)))</f>
        <v>1</v>
      </c>
      <c r="M86" s="6" t="str">
        <f ca="1">IF(KENKO[//]="","",IF(INDEX([6]!NOTA[STN],KENKO[//]-2)="","CTN",INDEX([6]!NOTA[STN],KENKO[//]-2)))</f>
        <v>CTN</v>
      </c>
      <c r="N86" s="5">
        <f ca="1">IF(KENKO[[#This Row],[//]]="","",IF(INDEX([6]!NOTA[HARGA/ CTN],KENKO[[#This Row],[//]]-2)="",INDEX([6]!NOTA[HARGA SATUAN],KENKO[//]-2),INDEX([6]!NOTA[HARGA/ CTN],KENKO[[#This Row],[//]]-2)))</f>
        <v>2208000</v>
      </c>
      <c r="O86" s="8">
        <f ca="1">IF(KENKO[[#This Row],[//]]="","",INDEX([6]!NOTA[DISC 1],KENKO[[#This Row],[//]]-2))</f>
        <v>0.17</v>
      </c>
      <c r="P86" s="8">
        <f ca="1">IF(KENKO[[#This Row],[//]]="","",INDEX([6]!NOTA[DISC 2],KENKO[[#This Row],[//]]-2))</f>
        <v>0</v>
      </c>
      <c r="Q86" s="5">
        <f ca="1">IF(KENKO[[#This Row],[//]]="","",INDEX([6]!NOTA[JUMLAH],KENKO[[#This Row],[//]]-2)*(100%-IF(ISNUMBER(KENKO[[#This Row],[DISC 1 (%)]]),KENKO[[#This Row],[DISC 1 (%)]],0)))</f>
        <v>1832640</v>
      </c>
      <c r="R8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4" t="str">
        <f ca="1">IF(KENKO[[#This Row],[//]]="","",INDEX([6]!NOTA[NAMA BARANG],KENKO[[#This Row],[//]]-2))</f>
        <v>KENKO PENCIL 2B-6181 BIRU CAP HITAM</v>
      </c>
      <c r="V86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86" s="4" t="s">
        <v>137</v>
      </c>
      <c r="X86" s="4" t="str">
        <f ca="1">IF(KENKO[[#This Row],[N.B.nota]]="","",ADDRESS(ROW(KENKO[QB]),COLUMN(KENKO[QB]))&amp;":"&amp;ADDRESS(ROW(),COLUMN(KENKO[QB])))</f>
        <v>$D$3:$D$86</v>
      </c>
      <c r="Y86" s="14" t="str">
        <f ca="1">IF(KENKO[[#This Row],[//]]="","",HYPERLINK("[..\\DB.xlsx]DB!e"&amp;MATCH(KENKO[[#This Row],[concat]],[4]!db[NB NOTA_C],0)+1,"&gt;"))</f>
        <v>&gt;</v>
      </c>
    </row>
    <row r="87" spans="1:25" x14ac:dyDescent="0.25">
      <c r="A87" s="4"/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NOTA]]="","",HYPERLINK("[NOTA_.xlsx]NOTA!e"&amp;INDEX([6]!PAJAK[//],MATCH(KENKO[[#This Row],[ID NOTA]],[6]!PAJAK[ID],0)),"&gt;") )</f>
        <v/>
      </c>
      <c r="D87" s="6" t="str">
        <f>IF(KENKO[[#This Row],[ID NOTA]]="","",INDEX(Table1[QB],MATCH(KENKO[[#This Row],[ID NOTA]],Table1[ID],0)))</f>
        <v/>
      </c>
      <c r="E8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464</v>
      </c>
      <c r="F87" s="6" t="str">
        <f>IF(KENKO[[#This Row],[NO. NOTA]]="","",INDEX([5]KE!$A:$A,MATCH(KENKO[[#This Row],[NO. NOTA]],[5]KE!$D:$D,0)))</f>
        <v/>
      </c>
      <c r="G87" s="3" t="str">
        <f>IF(KENKO[[#This Row],[ID NOTA]]="","",INDEX([6]!NOTA[TGL_H],MATCH(KENKO[[#This Row],[ID NOTA]],[6]!NOTA[ID],0)))</f>
        <v/>
      </c>
      <c r="H87" s="3" t="str">
        <f>IF(KENKO[[#This Row],[ID NOTA]]="","",INDEX([6]!NOTA[TGL.NOTA],MATCH(KENKO[[#This Row],[ID NOTA]],[6]!NOTA[ID],0)))</f>
        <v/>
      </c>
      <c r="I87" s="19" t="str">
        <f>IF(KENKO[[#This Row],[ID NOTA]]="","",INDEX([6]!NOTA[NO.NOTA],MATCH(KENKO[[#This Row],[ID NOTA]],[6]!NOTA[ID],0)))</f>
        <v/>
      </c>
      <c r="J87" s="4" t="s">
        <v>209</v>
      </c>
      <c r="K87" s="6" t="str">
        <f>""</f>
        <v/>
      </c>
      <c r="L87" s="6">
        <f ca="1">IF(KENKO[//]="","",IF(INDEX([6]!NOTA[QTY],KENKO[//]-2)="",INDEX([6]!NOTA[C],KENKO[//]-2),INDEX([6]!NOTA[QTY],KENKO[//]-2)))</f>
        <v>2</v>
      </c>
      <c r="M87" s="6" t="str">
        <f ca="1">IF(KENKO[//]="","",IF(INDEX([6]!NOTA[STN],KENKO[//]-2)="","CTN",INDEX([6]!NOTA[STN],KENKO[//]-2)))</f>
        <v>CTN</v>
      </c>
      <c r="N87" s="5">
        <f ca="1">IF(KENKO[[#This Row],[//]]="","",IF(INDEX([6]!NOTA[HARGA/ CTN],KENKO[[#This Row],[//]]-2)="",INDEX([6]!NOTA[HARGA SATUAN],KENKO[//]-2),INDEX([6]!NOTA[HARGA/ CTN],KENKO[[#This Row],[//]]-2)))</f>
        <v>2208000</v>
      </c>
      <c r="O87" s="8">
        <f ca="1">IF(KENKO[[#This Row],[//]]="","",INDEX([6]!NOTA[DISC 1],KENKO[[#This Row],[//]]-2))</f>
        <v>0.17</v>
      </c>
      <c r="P87" s="8">
        <f ca="1">IF(KENKO[[#This Row],[//]]="","",INDEX([6]!NOTA[DISC 2],KENKO[[#This Row],[//]]-2))</f>
        <v>0</v>
      </c>
      <c r="Q87" s="5">
        <f ca="1">IF(KENKO[[#This Row],[//]]="","",INDEX([6]!NOTA[JUMLAH],KENKO[[#This Row],[//]]-2)*(100%-IF(ISNUMBER(KENKO[[#This Row],[DISC 1 (%)]]),KENKO[[#This Row],[DISC 1 (%)]],0)))</f>
        <v>3665280</v>
      </c>
      <c r="R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4" t="str">
        <f ca="1">IF(KENKO[[#This Row],[//]]="","",INDEX([6]!NOTA[NAMA BARANG],KENKO[[#This Row],[//]]-2))</f>
        <v>KENKO PENCIL 2B-6191 HIJAU CAP HITAM</v>
      </c>
      <c r="V87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87" s="4" t="s">
        <v>137</v>
      </c>
      <c r="X87" s="4" t="str">
        <f ca="1">IF(KENKO[[#This Row],[N.B.nota]]="","",ADDRESS(ROW(KENKO[QB]),COLUMN(KENKO[QB]))&amp;":"&amp;ADDRESS(ROW(),COLUMN(KENKO[QB])))</f>
        <v>$D$3:$D$87</v>
      </c>
      <c r="Y87" s="14" t="str">
        <f ca="1">IF(KENKO[[#This Row],[//]]="","",HYPERLINK("[..\\DB.xlsx]DB!e"&amp;MATCH(KENKO[[#This Row],[concat]],[4]!db[NB NOTA_C],0)+1,"&gt;"))</f>
        <v>&gt;</v>
      </c>
    </row>
    <row r="88" spans="1:25" x14ac:dyDescent="0.25">
      <c r="A88" s="4"/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NOTA]]="","",HYPERLINK("[NOTA_.xlsx]NOTA!e"&amp;INDEX([6]!PAJAK[//],MATCH(KENKO[[#This Row],[ID NOTA]],[6]!PAJAK[ID],0)),"&gt;") )</f>
        <v/>
      </c>
      <c r="D88" s="6" t="str">
        <f>IF(KENKO[[#This Row],[ID NOTA]]="","",INDEX(Table1[QB],MATCH(KENKO[[#This Row],[ID NOTA]],Table1[ID],0)))</f>
        <v/>
      </c>
      <c r="E8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465</v>
      </c>
      <c r="F88" s="6" t="str">
        <f>IF(KENKO[[#This Row],[NO. NOTA]]="","",INDEX([5]KE!$A:$A,MATCH(KENKO[[#This Row],[NO. NOTA]],[5]KE!$D:$D,0)))</f>
        <v/>
      </c>
      <c r="G88" s="3" t="str">
        <f>IF(KENKO[[#This Row],[ID NOTA]]="","",INDEX([6]!NOTA[TGL_H],MATCH(KENKO[[#This Row],[ID NOTA]],[6]!NOTA[ID],0)))</f>
        <v/>
      </c>
      <c r="H88" s="3" t="str">
        <f>IF(KENKO[[#This Row],[ID NOTA]]="","",INDEX([6]!NOTA[TGL.NOTA],MATCH(KENKO[[#This Row],[ID NOTA]],[6]!NOTA[ID],0)))</f>
        <v/>
      </c>
      <c r="I88" s="19" t="str">
        <f>IF(KENKO[[#This Row],[ID NOTA]]="","",INDEX([6]!NOTA[NO.NOTA],MATCH(KENKO[[#This Row],[ID NOTA]],[6]!NOTA[ID],0)))</f>
        <v/>
      </c>
      <c r="J88" s="4" t="s">
        <v>210</v>
      </c>
      <c r="K88" s="6" t="str">
        <f>""</f>
        <v/>
      </c>
      <c r="L88" s="6">
        <f ca="1">IF(KENKO[//]="","",IF(INDEX([6]!NOTA[QTY],KENKO[//]-2)="",INDEX([6]!NOTA[C],KENKO[//]-2),INDEX([6]!NOTA[QTY],KENKO[//]-2)))</f>
        <v>2</v>
      </c>
      <c r="M88" s="6" t="str">
        <f ca="1">IF(KENKO[//]="","",IF(INDEX([6]!NOTA[STN],KENKO[//]-2)="","CTN",INDEX([6]!NOTA[STN],KENKO[//]-2)))</f>
        <v>CTN</v>
      </c>
      <c r="N88" s="5">
        <f ca="1">IF(KENKO[[#This Row],[//]]="","",IF(INDEX([6]!NOTA[HARGA/ CTN],KENKO[[#This Row],[//]]-2)="",INDEX([6]!NOTA[HARGA SATUAN],KENKO[//]-2),INDEX([6]!NOTA[HARGA/ CTN],KENKO[[#This Row],[//]]-2)))</f>
        <v>2256000</v>
      </c>
      <c r="O88" s="8">
        <f ca="1">IF(KENKO[[#This Row],[//]]="","",INDEX([6]!NOTA[DISC 1],KENKO[[#This Row],[//]]-2))</f>
        <v>0.17</v>
      </c>
      <c r="P88" s="8">
        <f ca="1">IF(KENKO[[#This Row],[//]]="","",INDEX([6]!NOTA[DISC 2],KENKO[[#This Row],[//]]-2))</f>
        <v>0</v>
      </c>
      <c r="Q88" s="5">
        <f ca="1">IF(KENKO[[#This Row],[//]]="","",INDEX([6]!NOTA[JUMLAH],KENKO[[#This Row],[//]]-2)*(100%-IF(ISNUMBER(KENKO[[#This Row],[DISC 1 (%)]]),KENKO[[#This Row],[DISC 1 (%)]],0)))</f>
        <v>3744960</v>
      </c>
      <c r="R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4" t="str">
        <f ca="1">IF(KENKO[[#This Row],[//]]="","",INDEX([6]!NOTA[NAMA BARANG],KENKO[[#This Row],[//]]-2))</f>
        <v>KENKO PENCIL 2B-6388 ZOO N ZOO</v>
      </c>
      <c r="V88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88" s="4" t="s">
        <v>137</v>
      </c>
      <c r="X88" s="4" t="str">
        <f ca="1">IF(KENKO[[#This Row],[N.B.nota]]="","",ADDRESS(ROW(KENKO[QB]),COLUMN(KENKO[QB]))&amp;":"&amp;ADDRESS(ROW(),COLUMN(KENKO[QB])))</f>
        <v>$D$3:$D$88</v>
      </c>
      <c r="Y88" s="14" t="str">
        <f ca="1">IF(KENKO[[#This Row],[//]]="","",HYPERLINK("[..\\DB.xlsx]DB!e"&amp;MATCH(KENKO[[#This Row],[concat]],[4]!db[NB NOTA_C],0)+1,"&gt;"))</f>
        <v>&gt;</v>
      </c>
    </row>
    <row r="89" spans="1:25" x14ac:dyDescent="0.25">
      <c r="A89" s="4"/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NOTA]]="","",HYPERLINK("[NOTA_.xlsx]NOTA!e"&amp;INDEX([6]!PAJAK[//],MATCH(KENKO[[#This Row],[ID NOTA]],[6]!PAJAK[ID],0)),"&gt;") )</f>
        <v/>
      </c>
      <c r="D89" s="6" t="str">
        <f>IF(KENKO[[#This Row],[ID NOTA]]="","",INDEX(Table1[QB],MATCH(KENKO[[#This Row],[ID NOTA]],Table1[ID],0)))</f>
        <v/>
      </c>
      <c r="E8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466</v>
      </c>
      <c r="F89" s="6" t="str">
        <f>IF(KENKO[[#This Row],[NO. NOTA]]="","",INDEX([5]KE!$A:$A,MATCH(KENKO[[#This Row],[NO. NOTA]],[5]KE!$D:$D,0)))</f>
        <v/>
      </c>
      <c r="G89" s="3" t="str">
        <f>IF(KENKO[[#This Row],[ID NOTA]]="","",INDEX([6]!NOTA[TGL_H],MATCH(KENKO[[#This Row],[ID NOTA]],[6]!NOTA[ID],0)))</f>
        <v/>
      </c>
      <c r="H89" s="3" t="str">
        <f>IF(KENKO[[#This Row],[ID NOTA]]="","",INDEX([6]!NOTA[TGL.NOTA],MATCH(KENKO[[#This Row],[ID NOTA]],[6]!NOTA[ID],0)))</f>
        <v/>
      </c>
      <c r="I89" s="19" t="str">
        <f>IF(KENKO[[#This Row],[ID NOTA]]="","",INDEX([6]!NOTA[NO.NOTA],MATCH(KENKO[[#This Row],[ID NOTA]],[6]!NOTA[ID],0)))</f>
        <v/>
      </c>
      <c r="J89" s="4" t="s">
        <v>211</v>
      </c>
      <c r="K89" s="6" t="str">
        <f>""</f>
        <v/>
      </c>
      <c r="L89" s="6">
        <f ca="1">IF(KENKO[//]="","",IF(INDEX([6]!NOTA[QTY],KENKO[//]-2)="",INDEX([6]!NOTA[C],KENKO[//]-2),INDEX([6]!NOTA[QTY],KENKO[//]-2)))</f>
        <v>2</v>
      </c>
      <c r="M89" s="6" t="str">
        <f ca="1">IF(KENKO[//]="","",IF(INDEX([6]!NOTA[STN],KENKO[//]-2)="","CTN",INDEX([6]!NOTA[STN],KENKO[//]-2)))</f>
        <v>CTN</v>
      </c>
      <c r="N89" s="5">
        <f ca="1">IF(KENKO[[#This Row],[//]]="","",IF(INDEX([6]!NOTA[HARGA/ CTN],KENKO[[#This Row],[//]]-2)="",INDEX([6]!NOTA[HARGA SATUAN],KENKO[//]-2),INDEX([6]!NOTA[HARGA/ CTN],KENKO[[#This Row],[//]]-2)))</f>
        <v>2592000</v>
      </c>
      <c r="O89" s="8">
        <f ca="1">IF(KENKO[[#This Row],[//]]="","",INDEX([6]!NOTA[DISC 1],KENKO[[#This Row],[//]]-2))</f>
        <v>0.17</v>
      </c>
      <c r="P89" s="8">
        <f ca="1">IF(KENKO[[#This Row],[//]]="","",INDEX([6]!NOTA[DISC 2],KENKO[[#This Row],[//]]-2))</f>
        <v>0</v>
      </c>
      <c r="Q89" s="5">
        <f ca="1">IF(KENKO[[#This Row],[//]]="","",INDEX([6]!NOTA[JUMLAH],KENKO[[#This Row],[//]]-2)*(100%-IF(ISNUMBER(KENKO[[#This Row],[DISC 1 (%)]]),KENKO[[#This Row],[DISC 1 (%)]],0)))</f>
        <v>4302720</v>
      </c>
      <c r="R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4" t="str">
        <f ca="1">IF(KENKO[[#This Row],[//]]="","",INDEX([6]!NOTA[NAMA BARANG],KENKO[[#This Row],[//]]-2))</f>
        <v>KENKO GLUE STICK 15GR (MEDIUM)</v>
      </c>
      <c r="V89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89" s="4" t="s">
        <v>137</v>
      </c>
      <c r="X89" s="4" t="str">
        <f ca="1">IF(KENKO[[#This Row],[N.B.nota]]="","",ADDRESS(ROW(KENKO[QB]),COLUMN(KENKO[QB]))&amp;":"&amp;ADDRESS(ROW(),COLUMN(KENKO[QB])))</f>
        <v>$D$3:$D$89</v>
      </c>
      <c r="Y89" s="14" t="str">
        <f ca="1">IF(KENKO[[#This Row],[//]]="","",HYPERLINK("[..\\DB.xlsx]DB!e"&amp;MATCH(KENKO[[#This Row],[concat]],[4]!db[NB NOTA_C],0)+1,"&gt;"))</f>
        <v>&gt;</v>
      </c>
    </row>
    <row r="90" spans="1:25" x14ac:dyDescent="0.25">
      <c r="A90" s="4"/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NOTA]]="","",HYPERLINK("[NOTA_.xlsx]NOTA!e"&amp;INDEX([6]!PAJAK[//],MATCH(KENKO[[#This Row],[ID NOTA]],[6]!PAJAK[ID],0)),"&gt;") )</f>
        <v/>
      </c>
      <c r="D90" s="6" t="str">
        <f>IF(KENKO[[#This Row],[ID NOTA]]="","",INDEX(Table1[QB],MATCH(KENKO[[#This Row],[ID NOTA]],Table1[ID],0)))</f>
        <v/>
      </c>
      <c r="E9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467</v>
      </c>
      <c r="F90" s="6" t="str">
        <f>IF(KENKO[[#This Row],[NO. NOTA]]="","",INDEX([5]KE!$A:$A,MATCH(KENKO[[#This Row],[NO. NOTA]],[5]KE!$D:$D,0)))</f>
        <v/>
      </c>
      <c r="G90" s="3" t="str">
        <f>IF(KENKO[[#This Row],[ID NOTA]]="","",INDEX([6]!NOTA[TGL_H],MATCH(KENKO[[#This Row],[ID NOTA]],[6]!NOTA[ID],0)))</f>
        <v/>
      </c>
      <c r="H90" s="3" t="str">
        <f>IF(KENKO[[#This Row],[ID NOTA]]="","",INDEX([6]!NOTA[TGL.NOTA],MATCH(KENKO[[#This Row],[ID NOTA]],[6]!NOTA[ID],0)))</f>
        <v/>
      </c>
      <c r="I90" s="19" t="str">
        <f>IF(KENKO[[#This Row],[ID NOTA]]="","",INDEX([6]!NOTA[NO.NOTA],MATCH(KENKO[[#This Row],[ID NOTA]],[6]!NOTA[ID],0)))</f>
        <v/>
      </c>
      <c r="J90" s="4" t="s">
        <v>173</v>
      </c>
      <c r="K90" s="6" t="str">
        <f>""</f>
        <v/>
      </c>
      <c r="L90" s="6">
        <f ca="1">IF(KENKO[//]="","",IF(INDEX([6]!NOTA[QTY],KENKO[//]-2)="",INDEX([6]!NOTA[C],KENKO[//]-2),INDEX([6]!NOTA[QTY],KENKO[//]-2)))</f>
        <v>2</v>
      </c>
      <c r="M90" s="6" t="str">
        <f ca="1">IF(KENKO[//]="","",IF(INDEX([6]!NOTA[STN],KENKO[//]-2)="","CTN",INDEX([6]!NOTA[STN],KENKO[//]-2)))</f>
        <v>CTN</v>
      </c>
      <c r="N90" s="5">
        <f ca="1">IF(KENKO[[#This Row],[//]]="","",IF(INDEX([6]!NOTA[HARGA/ CTN],KENKO[[#This Row],[//]]-2)="",INDEX([6]!NOTA[HARGA SATUAN],KENKO[//]-2),INDEX([6]!NOTA[HARGA/ CTN],KENKO[[#This Row],[//]]-2)))</f>
        <v>1740000</v>
      </c>
      <c r="O90" s="8">
        <f ca="1">IF(KENKO[[#This Row],[//]]="","",INDEX([6]!NOTA[DISC 1],KENKO[[#This Row],[//]]-2))</f>
        <v>0.17</v>
      </c>
      <c r="P90" s="8">
        <f ca="1">IF(KENKO[[#This Row],[//]]="","",INDEX([6]!NOTA[DISC 2],KENKO[[#This Row],[//]]-2))</f>
        <v>0</v>
      </c>
      <c r="Q90" s="5">
        <f ca="1">IF(KENKO[[#This Row],[//]]="","",INDEX([6]!NOTA[JUMLAH],KENKO[[#This Row],[//]]-2)*(100%-IF(ISNUMBER(KENKO[[#This Row],[DISC 1 (%)]]),KENKO[[#This Row],[DISC 1 (%)]],0)))</f>
        <v>2888400</v>
      </c>
      <c r="R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4" t="str">
        <f ca="1">IF(KENKO[[#This Row],[//]]="","",INDEX([6]!NOTA[NAMA BARANG],KENKO[[#This Row],[//]]-2))</f>
        <v>KENKO STAPLER HD-10S (MINI)</v>
      </c>
      <c r="V90" s="4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90" s="4" t="s">
        <v>137</v>
      </c>
      <c r="X90" s="4" t="str">
        <f ca="1">IF(KENKO[[#This Row],[N.B.nota]]="","",ADDRESS(ROW(KENKO[QB]),COLUMN(KENKO[QB]))&amp;":"&amp;ADDRESS(ROW(),COLUMN(KENKO[QB])))</f>
        <v>$D$3:$D$90</v>
      </c>
      <c r="Y90" s="14" t="str">
        <f ca="1">IF(KENKO[[#This Row],[//]]="","",HYPERLINK("[..\\DB.xlsx]DB!e"&amp;MATCH(KENKO[[#This Row],[concat]],[4]!db[NB NOTA_C],0)+1,"&gt;"))</f>
        <v>&gt;</v>
      </c>
    </row>
    <row r="91" spans="1:25" x14ac:dyDescent="0.25">
      <c r="A91" s="4"/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NOTA]]="","",HYPERLINK("[NOTA_.xlsx]NOTA!e"&amp;INDEX([6]!PAJAK[//],MATCH(KENKO[[#This Row],[ID NOTA]],[6]!PAJAK[ID],0)),"&gt;") )</f>
        <v/>
      </c>
      <c r="D91" s="6" t="str">
        <f>IF(KENKO[[#This Row],[ID NOTA]]="","",INDEX(Table1[QB],MATCH(KENKO[[#This Row],[ID NOTA]],Table1[ID],0)))</f>
        <v/>
      </c>
      <c r="E9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468</v>
      </c>
      <c r="F91" s="6" t="str">
        <f>IF(KENKO[[#This Row],[NO. NOTA]]="","",INDEX([5]KE!$A:$A,MATCH(KENKO[[#This Row],[NO. NOTA]],[5]KE!$D:$D,0)))</f>
        <v/>
      </c>
      <c r="G91" s="3" t="str">
        <f>IF(KENKO[[#This Row],[ID NOTA]]="","",INDEX([6]!NOTA[TGL_H],MATCH(KENKO[[#This Row],[ID NOTA]],[6]!NOTA[ID],0)))</f>
        <v/>
      </c>
      <c r="H91" s="3" t="str">
        <f>IF(KENKO[[#This Row],[ID NOTA]]="","",INDEX([6]!NOTA[TGL.NOTA],MATCH(KENKO[[#This Row],[ID NOTA]],[6]!NOTA[ID],0)))</f>
        <v/>
      </c>
      <c r="I91" s="19" t="str">
        <f>IF(KENKO[[#This Row],[ID NOTA]]="","",INDEX([6]!NOTA[NO.NOTA],MATCH(KENKO[[#This Row],[ID NOTA]],[6]!NOTA[ID],0)))</f>
        <v/>
      </c>
      <c r="J91" s="4" t="s">
        <v>212</v>
      </c>
      <c r="K91" s="6" t="str">
        <f>""</f>
        <v/>
      </c>
      <c r="L91" s="6">
        <f ca="1">IF(KENKO[//]="","",IF(INDEX([6]!NOTA[QTY],KENKO[//]-2)="",INDEX([6]!NOTA[C],KENKO[//]-2),INDEX([6]!NOTA[QTY],KENKO[//]-2)))</f>
        <v>3</v>
      </c>
      <c r="M91" s="6" t="str">
        <f ca="1">IF(KENKO[//]="","",IF(INDEX([6]!NOTA[STN],KENKO[//]-2)="","CTN",INDEX([6]!NOTA[STN],KENKO[//]-2)))</f>
        <v>CTN</v>
      </c>
      <c r="N91" s="5">
        <f ca="1">IF(KENKO[[#This Row],[//]]="","",IF(INDEX([6]!NOTA[HARGA/ CTN],KENKO[[#This Row],[//]]-2)="",INDEX([6]!NOTA[HARGA SATUAN],KENKO[//]-2),INDEX([6]!NOTA[HARGA/ CTN],KENKO[[#This Row],[//]]-2)))</f>
        <v>2352000</v>
      </c>
      <c r="O91" s="8">
        <f ca="1">IF(KENKO[[#This Row],[//]]="","",INDEX([6]!NOTA[DISC 1],KENKO[[#This Row],[//]]-2))</f>
        <v>0.17</v>
      </c>
      <c r="P91" s="8">
        <f ca="1">IF(KENKO[[#This Row],[//]]="","",INDEX([6]!NOTA[DISC 2],KENKO[[#This Row],[//]]-2))</f>
        <v>0</v>
      </c>
      <c r="Q91" s="5">
        <f ca="1">IF(KENKO[[#This Row],[//]]="","",INDEX([6]!NOTA[JUMLAH],KENKO[[#This Row],[//]]-2)*(100%-IF(ISNUMBER(KENKO[[#This Row],[DISC 1 (%)]]),KENKO[[#This Row],[DISC 1 (%)]],0)))</f>
        <v>5856480</v>
      </c>
      <c r="R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4" t="str">
        <f ca="1">IF(KENKO[[#This Row],[//]]="","",INDEX([6]!NOTA[NAMA BARANG],KENKO[[#This Row],[//]]-2))</f>
        <v>KENKO STAPLER HD-10D PASTEL COLOR</v>
      </c>
      <c r="V91" s="4" t="str">
        <f ca="1">LOWER(SUBSTITUTE(SUBSTITUTE(SUBSTITUTE(SUBSTITUTE(SUBSTITUTE(SUBSTITUTE(SUBSTITUTE(SUBSTITUTE(KENKO[[#This Row],[N.B.nota]]," ",""),"-",""),"(",""),")",""),".",""),",",""),"/",""),"""",""))</f>
        <v>kenkostaplerhd10dpastelcolor</v>
      </c>
      <c r="W91" s="4" t="s">
        <v>137</v>
      </c>
      <c r="X91" s="4" t="str">
        <f ca="1">IF(KENKO[[#This Row],[N.B.nota]]="","",ADDRESS(ROW(KENKO[QB]),COLUMN(KENKO[QB]))&amp;":"&amp;ADDRESS(ROW(),COLUMN(KENKO[QB])))</f>
        <v>$D$3:$D$91</v>
      </c>
      <c r="Y91" s="14" t="str">
        <f ca="1">IF(KENKO[[#This Row],[//]]="","",HYPERLINK("[..\\DB.xlsx]DB!e"&amp;MATCH(KENKO[[#This Row],[concat]],[4]!db[NB NOTA_C],0)+1,"&gt;"))</f>
        <v>&gt;</v>
      </c>
    </row>
    <row r="92" spans="1:25" x14ac:dyDescent="0.25">
      <c r="A92" s="4"/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NOTA]]="","",HYPERLINK("[NOTA_.xlsx]NOTA!e"&amp;INDEX([6]!PAJAK[//],MATCH(KENKO[[#This Row],[ID NOTA]],[6]!PAJAK[ID],0)),"&gt;") )</f>
        <v/>
      </c>
      <c r="D92" s="6" t="str">
        <f>IF(KENKO[[#This Row],[ID NOTA]]="","",INDEX(Table1[QB],MATCH(KENKO[[#This Row],[ID NOTA]],Table1[ID],0)))</f>
        <v/>
      </c>
      <c r="E9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469</v>
      </c>
      <c r="F92" s="6" t="str">
        <f>IF(KENKO[[#This Row],[NO. NOTA]]="","",INDEX([5]KE!$A:$A,MATCH(KENKO[[#This Row],[NO. NOTA]],[5]KE!$D:$D,0)))</f>
        <v/>
      </c>
      <c r="G92" s="3" t="str">
        <f>IF(KENKO[[#This Row],[ID NOTA]]="","",INDEX([6]!NOTA[TGL_H],MATCH(KENKO[[#This Row],[ID NOTA]],[6]!NOTA[ID],0)))</f>
        <v/>
      </c>
      <c r="H92" s="3" t="str">
        <f>IF(KENKO[[#This Row],[ID NOTA]]="","",INDEX([6]!NOTA[TGL.NOTA],MATCH(KENKO[[#This Row],[ID NOTA]],[6]!NOTA[ID],0)))</f>
        <v/>
      </c>
      <c r="I92" s="19" t="str">
        <f>IF(KENKO[[#This Row],[ID NOTA]]="","",INDEX([6]!NOTA[NO.NOTA],MATCH(KENKO[[#This Row],[ID NOTA]],[6]!NOTA[ID],0)))</f>
        <v/>
      </c>
      <c r="J92" s="4" t="s">
        <v>180</v>
      </c>
      <c r="K92" s="6" t="str">
        <f>""</f>
        <v/>
      </c>
      <c r="L92" s="6">
        <f ca="1">IF(KENKO[//]="","",IF(INDEX([6]!NOTA[QTY],KENKO[//]-2)="",INDEX([6]!NOTA[C],KENKO[//]-2),INDEX([6]!NOTA[QTY],KENKO[//]-2)))</f>
        <v>5</v>
      </c>
      <c r="M92" s="6" t="str">
        <f ca="1">IF(KENKO[//]="","",IF(INDEX([6]!NOTA[STN],KENKO[//]-2)="","CTN",INDEX([6]!NOTA[STN],KENKO[//]-2)))</f>
        <v>CTN</v>
      </c>
      <c r="N92" s="5">
        <f ca="1">IF(KENKO[[#This Row],[//]]="","",IF(INDEX([6]!NOTA[HARGA/ CTN],KENKO[[#This Row],[//]]-2)="",INDEX([6]!NOTA[HARGA SATUAN],KENKO[//]-2),INDEX([6]!NOTA[HARGA/ CTN],KENKO[[#This Row],[//]]-2)))</f>
        <v>1740000</v>
      </c>
      <c r="O92" s="8">
        <f ca="1">IF(KENKO[[#This Row],[//]]="","",INDEX([6]!NOTA[DISC 1],KENKO[[#This Row],[//]]-2))</f>
        <v>0.17</v>
      </c>
      <c r="P92" s="8">
        <f ca="1">IF(KENKO[[#This Row],[//]]="","",INDEX([6]!NOTA[DISC 2],KENKO[[#This Row],[//]]-2))</f>
        <v>0</v>
      </c>
      <c r="Q92" s="5">
        <f ca="1">IF(KENKO[[#This Row],[//]]="","",INDEX([6]!NOTA[JUMLAH],KENKO[[#This Row],[//]]-2)*(100%-IF(ISNUMBER(KENKO[[#This Row],[DISC 1 (%)]]),KENKO[[#This Row],[DISC 1 (%)]],0)))</f>
        <v>7221000</v>
      </c>
      <c r="R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4" t="str">
        <f ca="1">IF(KENKO[[#This Row],[//]]="","",INDEX([6]!NOTA[NAMA BARANG],KENKO[[#This Row],[//]]-2))</f>
        <v>KENKO STAPLER HD-10</v>
      </c>
      <c r="V92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2" s="4" t="s">
        <v>137</v>
      </c>
      <c r="X92" s="4" t="str">
        <f ca="1">IF(KENKO[[#This Row],[N.B.nota]]="","",ADDRESS(ROW(KENKO[QB]),COLUMN(KENKO[QB]))&amp;":"&amp;ADDRESS(ROW(),COLUMN(KENKO[QB])))</f>
        <v>$D$3:$D$92</v>
      </c>
      <c r="Y92" s="14" t="str">
        <f ca="1">IF(KENKO[[#This Row],[//]]="","",HYPERLINK("[..\\DB.xlsx]DB!e"&amp;MATCH(KENKO[[#This Row],[concat]],[4]!db[NB NOTA_C],0)+1,"&gt;"))</f>
        <v>&gt;</v>
      </c>
    </row>
    <row r="93" spans="1:25" x14ac:dyDescent="0.25">
      <c r="A93" s="4"/>
      <c r="B93" s="6" t="str">
        <f>IF(KENKO[[#This Row],[N_ID]]="","",INDEX(Table1[ID],MATCH(KENKO[[#This Row],[N_ID]],Table1[N_ID],0)))</f>
        <v/>
      </c>
      <c r="C93" s="6" t="str">
        <f>IF(KENKO[[#This Row],[ID NOTA]]="","",HYPERLINK("[NOTA_.xlsx]NOTA!e"&amp;INDEX([6]!PAJAK[//],MATCH(KENKO[[#This Row],[ID NOTA]],[6]!PAJAK[ID],0)),"&gt;") )</f>
        <v/>
      </c>
      <c r="D93" s="6" t="str">
        <f>IF(KENKO[[#This Row],[ID NOTA]]="","",INDEX(Table1[QB],MATCH(KENKO[[#This Row],[ID NOTA]],Table1[ID],0)))</f>
        <v/>
      </c>
      <c r="E9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470</v>
      </c>
      <c r="F93" s="6" t="str">
        <f>IF(KENKO[[#This Row],[NO. NOTA]]="","",INDEX([5]KE!$A:$A,MATCH(KENKO[[#This Row],[NO. NOTA]],[5]KE!$D:$D,0)))</f>
        <v/>
      </c>
      <c r="G93" s="3" t="str">
        <f>IF(KENKO[[#This Row],[ID NOTA]]="","",INDEX([6]!NOTA[TGL_H],MATCH(KENKO[[#This Row],[ID NOTA]],[6]!NOTA[ID],0)))</f>
        <v/>
      </c>
      <c r="H93" s="3" t="str">
        <f>IF(KENKO[[#This Row],[ID NOTA]]="","",INDEX([6]!NOTA[TGL.NOTA],MATCH(KENKO[[#This Row],[ID NOTA]],[6]!NOTA[ID],0)))</f>
        <v/>
      </c>
      <c r="I93" s="19" t="str">
        <f>IF(KENKO[[#This Row],[ID NOTA]]="","",INDEX([6]!NOTA[NO.NOTA],MATCH(KENKO[[#This Row],[ID NOTA]],[6]!NOTA[ID],0)))</f>
        <v/>
      </c>
      <c r="J93" s="4" t="s">
        <v>213</v>
      </c>
      <c r="K93" s="6" t="str">
        <f>""</f>
        <v/>
      </c>
      <c r="L93" s="6">
        <f ca="1">IF(KENKO[//]="","",IF(INDEX([6]!NOTA[QTY],KENKO[//]-2)="",INDEX([6]!NOTA[C],KENKO[//]-2),INDEX([6]!NOTA[QTY],KENKO[//]-2)))</f>
        <v>5</v>
      </c>
      <c r="M93" s="6" t="str">
        <f ca="1">IF(KENKO[//]="","",IF(INDEX([6]!NOTA[STN],KENKO[//]-2)="","CTN",INDEX([6]!NOTA[STN],KENKO[//]-2)))</f>
        <v>CTN</v>
      </c>
      <c r="N93" s="5">
        <f ca="1">IF(KENKO[[#This Row],[//]]="","",IF(INDEX([6]!NOTA[HARGA/ CTN],KENKO[[#This Row],[//]]-2)="",INDEX([6]!NOTA[HARGA SATUAN],KENKO[//]-2),INDEX([6]!NOTA[HARGA/ CTN],KENKO[[#This Row],[//]]-2)))</f>
        <v>2280000</v>
      </c>
      <c r="O93" s="8">
        <f ca="1">IF(KENKO[[#This Row],[//]]="","",INDEX([6]!NOTA[DISC 1],KENKO[[#This Row],[//]]-2))</f>
        <v>0.17</v>
      </c>
      <c r="P93" s="8">
        <f ca="1">IF(KENKO[[#This Row],[//]]="","",INDEX([6]!NOTA[DISC 2],KENKO[[#This Row],[//]]-2))</f>
        <v>0</v>
      </c>
      <c r="Q93" s="5">
        <f ca="1">IF(KENKO[[#This Row],[//]]="","",INDEX([6]!NOTA[JUMLAH],KENKO[[#This Row],[//]]-2)*(100%-IF(ISNUMBER(KENKO[[#This Row],[DISC 1 (%)]]),KENKO[[#This Row],[DISC 1 (%)]],0)))</f>
        <v>9462000</v>
      </c>
      <c r="R9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8497620</v>
      </c>
      <c r="S9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41488380</v>
      </c>
      <c r="T9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4" t="str">
        <f ca="1">IF(KENKO[[#This Row],[//]]="","",INDEX([6]!NOTA[NAMA BARANG],KENKO[[#This Row],[//]]-2))</f>
        <v>KENKO STAPLER HD-50</v>
      </c>
      <c r="V93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3" s="4" t="s">
        <v>137</v>
      </c>
      <c r="X93" s="4" t="str">
        <f ca="1">IF(KENKO[[#This Row],[N.B.nota]]="","",ADDRESS(ROW(KENKO[QB]),COLUMN(KENKO[QB]))&amp;":"&amp;ADDRESS(ROW(),COLUMN(KENKO[QB])))</f>
        <v>$D$3:$D$93</v>
      </c>
      <c r="Y93" s="14" t="str">
        <f ca="1">IF(KENKO[[#This Row],[//]]="","",HYPERLINK("[..\\DB.xlsx]DB!e"&amp;MATCH(KENKO[[#This Row],[concat]],[4]!db[NB NOTA_C],0)+1,"&gt;"))</f>
        <v>&gt;</v>
      </c>
    </row>
    <row r="94" spans="1:25" x14ac:dyDescent="0.25">
      <c r="A94" s="4"/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NOTA]]="","",HYPERLINK("[NOTA_.xlsx]NOTA!e"&amp;INDEX([6]!PAJAK[//],MATCH(KENKO[[#This Row],[ID NOTA]],[6]!PAJAK[ID],0)),"&gt;") )</f>
        <v/>
      </c>
      <c r="D94" s="6" t="str">
        <f>IF(KENKO[[#This Row],[ID NOTA]]="","",INDEX(Table1[QB],MATCH(KENKO[[#This Row],[ID NOTA]],Table1[ID],0)))</f>
        <v/>
      </c>
      <c r="E9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4" s="6" t="str">
        <f>IF(KENKO[[#This Row],[NO. NOTA]]="","",INDEX([5]KE!$A:$A,MATCH(KENKO[[#This Row],[NO. NOTA]],[5]KE!$D:$D,0)))</f>
        <v/>
      </c>
      <c r="G94" s="3" t="str">
        <f>IF(KENKO[[#This Row],[ID NOTA]]="","",INDEX([6]!NOTA[TGL_H],MATCH(KENKO[[#This Row],[ID NOTA]],[6]!NOTA[ID],0)))</f>
        <v/>
      </c>
      <c r="H94" s="3" t="str">
        <f>IF(KENKO[[#This Row],[ID NOTA]]="","",INDEX([6]!NOTA[TGL.NOTA],MATCH(KENKO[[#This Row],[ID NOTA]],[6]!NOTA[ID],0)))</f>
        <v/>
      </c>
      <c r="I94" s="19" t="str">
        <f>IF(KENKO[[#This Row],[ID NOTA]]="","",INDEX([6]!NOTA[NO.NOTA],MATCH(KENKO[[#This Row],[ID NOTA]],[6]!NOTA[ID],0)))</f>
        <v/>
      </c>
      <c r="J94" s="4" t="s">
        <v>136</v>
      </c>
      <c r="K94" s="6" t="str">
        <f>""</f>
        <v/>
      </c>
      <c r="L94" s="6" t="str">
        <f ca="1">IF(KENKO[//]="","",IF(INDEX([6]!NOTA[QTY],KENKO[//]-2)="",INDEX([6]!NOTA[C],KENKO[//]-2),INDEX([6]!NOTA[QTY],KENKO[//]-2)))</f>
        <v/>
      </c>
      <c r="M94" s="6" t="str">
        <f ca="1">IF(KENKO[//]="","",IF(INDEX([6]!NOTA[STN],KENKO[//]-2)="","CTN",INDEX([6]!NOTA[STN],KENKO[//]-2)))</f>
        <v/>
      </c>
      <c r="N94" s="5" t="str">
        <f ca="1">IF(KENKO[[#This Row],[//]]="","",IF(INDEX([6]!NOTA[HARGA/ CTN],KENKO[[#This Row],[//]]-2)="",INDEX([6]!NOTA[HARGA SATUAN],KENKO[//]-2),INDEX([6]!NOTA[HARGA/ CTN],KENKO[[#This Row],[//]]-2)))</f>
        <v/>
      </c>
      <c r="O94" s="8" t="str">
        <f ca="1">IF(KENKO[[#This Row],[//]]="","",INDEX([6]!NOTA[DISC 1],KENKO[[#This Row],[//]]-2))</f>
        <v/>
      </c>
      <c r="P94" s="8" t="str">
        <f ca="1">IF(KENKO[[#This Row],[//]]="","",INDEX([6]!NOTA[DISC 2],KENKO[[#This Row],[//]]-2))</f>
        <v/>
      </c>
      <c r="Q94" s="5" t="str">
        <f ca="1">IF(KENKO[[#This Row],[//]]="","",INDEX([6]!NOTA[JUMLAH],KENKO[[#This Row],[//]]-2)*(100%-IF(ISNUMBER(KENKO[[#This Row],[DISC 1 (%)]]),KENKO[[#This Row],[DISC 1 (%)]],0)))</f>
        <v/>
      </c>
      <c r="R9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4" t="str">
        <f ca="1">IF(KENKO[[#This Row],[//]]="","",INDEX([6]!NOTA[NAMA BARANG],KENKO[[#This Row],[//]]-2))</f>
        <v/>
      </c>
      <c r="V94" s="4" t="str">
        <f ca="1">LOWER(SUBSTITUTE(SUBSTITUTE(SUBSTITUTE(SUBSTITUTE(SUBSTITUTE(SUBSTITUTE(SUBSTITUTE(SUBSTITUTE(KENKO[[#This Row],[N.B.nota]]," ",""),"-",""),"(",""),")",""),".",""),",",""),"/",""),"""",""))</f>
        <v/>
      </c>
      <c r="W94" s="4" t="s">
        <v>136</v>
      </c>
      <c r="X94" s="4" t="str">
        <f ca="1">IF(KENKO[[#This Row],[N.B.nota]]="","",ADDRESS(ROW(KENKO[QB]),COLUMN(KENKO[QB]))&amp;":"&amp;ADDRESS(ROW(),COLUMN(KENKO[QB])))</f>
        <v/>
      </c>
      <c r="Y94" s="14" t="str">
        <f ca="1">IF(KENKO[[#This Row],[//]]="","",HYPERLINK("[..\\DB.xlsx]DB!e"&amp;MATCH(KENKO[[#This Row],[concat]],[4]!db[NB NOTA_C],0)+1,"&gt;"))</f>
        <v/>
      </c>
    </row>
    <row r="95" spans="1:25" x14ac:dyDescent="0.25">
      <c r="A95" s="4" t="s">
        <v>96</v>
      </c>
      <c r="B95" s="6">
        <f ca="1">IF(KENKO[[#This Row],[N_ID]]="","",INDEX(Table1[ID],MATCH(KENKO[[#This Row],[N_ID]],Table1[N_ID],0)))</f>
        <v>89</v>
      </c>
      <c r="C95" s="6" t="str">
        <f ca="1">IF(KENKO[[#This Row],[ID NOTA]]="","",HYPERLINK("[NOTA_.xlsx]NOTA!e"&amp;INDEX([6]!PAJAK[//],MATCH(KENKO[[#This Row],[ID NOTA]],[6]!PAJAK[ID],0)),"&gt;") )</f>
        <v>&gt;</v>
      </c>
      <c r="D95" s="6">
        <f ca="1">IF(KENKO[[#This Row],[ID NOTA]]="","",INDEX(Table1[QB],MATCH(KENKO[[#This Row],[ID NOTA]],Table1[ID],0)))</f>
        <v>2</v>
      </c>
      <c r="E9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447</v>
      </c>
      <c r="F95" s="6" t="e">
        <f ca="1">IF(KENKO[[#This Row],[NO. NOTA]]="","",INDEX([5]KE!$A:$A,MATCH(KENKO[[#This Row],[NO. NOTA]],[5]KE!$D:$D,0)))</f>
        <v>#N/A</v>
      </c>
      <c r="G95" s="3">
        <f ca="1">IF(KENKO[[#This Row],[ID NOTA]]="","",INDEX([6]!NOTA[TGL_H],MATCH(KENKO[[#This Row],[ID NOTA]],[6]!NOTA[ID],0)))</f>
        <v>44758</v>
      </c>
      <c r="H95" s="3">
        <f ca="1">IF(KENKO[[#This Row],[ID NOTA]]="","",INDEX([6]!NOTA[TGL.NOTA],MATCH(KENKO[[#This Row],[ID NOTA]],[6]!NOTA[ID],0)))</f>
        <v>44754</v>
      </c>
      <c r="I95" s="19" t="str">
        <f ca="1">IF(KENKO[[#This Row],[ID NOTA]]="","",INDEX([6]!NOTA[NO.NOTA],MATCH(KENKO[[#This Row],[ID NOTA]],[6]!NOTA[ID],0)))</f>
        <v>22070976</v>
      </c>
      <c r="J95" s="4" t="s">
        <v>214</v>
      </c>
      <c r="K95" s="6" t="str">
        <f>""</f>
        <v/>
      </c>
      <c r="L95" s="6">
        <f ca="1">IF(KENKO[//]="","",IF(INDEX([6]!NOTA[QTY],KENKO[//]-2)="",INDEX([6]!NOTA[C],KENKO[//]-2),INDEX([6]!NOTA[QTY],KENKO[//]-2)))</f>
        <v>5</v>
      </c>
      <c r="M95" s="6" t="str">
        <f ca="1">IF(KENKO[//]="","",IF(INDEX([6]!NOTA[STN],KENKO[//]-2)="","CTN",INDEX([6]!NOTA[STN],KENKO[//]-2)))</f>
        <v>CTN</v>
      </c>
      <c r="N95" s="5">
        <f ca="1">IF(KENKO[[#This Row],[//]]="","",IF(INDEX([6]!NOTA[HARGA/ CTN],KENKO[[#This Row],[//]]-2)="",INDEX([6]!NOTA[HARGA SATUAN],KENKO[//]-2),INDEX([6]!NOTA[HARGA/ CTN],KENKO[[#This Row],[//]]-2)))</f>
        <v>504000</v>
      </c>
      <c r="O95" s="8">
        <f ca="1">IF(KENKO[[#This Row],[//]]="","",INDEX([6]!NOTA[DISC 1],KENKO[[#This Row],[//]]-2))</f>
        <v>0.17</v>
      </c>
      <c r="P95" s="8">
        <f ca="1">IF(KENKO[[#This Row],[//]]="","",INDEX([6]!NOTA[DISC 2],KENKO[[#This Row],[//]]-2))</f>
        <v>0</v>
      </c>
      <c r="Q95" s="5">
        <f ca="1">IF(KENKO[[#This Row],[//]]="","",INDEX([6]!NOTA[JUMLAH],KENKO[[#This Row],[//]]-2)*(100%-IF(ISNUMBER(KENKO[[#This Row],[DISC 1 (%)]]),KENKO[[#This Row],[DISC 1 (%)]],0)))</f>
        <v>2091600</v>
      </c>
      <c r="R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Row],[//]]="","",INDEX([6]!NOTA[NAMA BARANG],KENKO[[#This Row],[//]]-2))</f>
        <v>KENKO LIQUID GLUE LG-50 (50ML)</v>
      </c>
      <c r="V95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95" s="4" t="s">
        <v>137</v>
      </c>
      <c r="X95" s="4" t="str">
        <f ca="1">IF(KENKO[[#This Row],[N.B.nota]]="","",ADDRESS(ROW(KENKO[QB]),COLUMN(KENKO[QB]))&amp;":"&amp;ADDRESS(ROW(),COLUMN(KENKO[QB])))</f>
        <v>$D$3:$D$95</v>
      </c>
      <c r="Y95" s="22" t="str">
        <f ca="1">IF(KENKO[[#This Row],[//]]="","",HYPERLINK("[..\\DB.xlsx]DB!e"&amp;MATCH(KENKO[[#This Row],[concat]],[4]!db[NB NOTA_C],0)+1,"&gt;"))</f>
        <v>&gt;</v>
      </c>
    </row>
    <row r="96" spans="1:25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NOTA]]="","",HYPERLINK("[NOTA_.xlsx]NOTA!e"&amp;INDEX([6]!PAJAK[//],MATCH(KENKO[[#This Row],[ID NOTA]],[6]!PAJAK[ID],0)),"&gt;")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448</v>
      </c>
      <c r="F96" s="6" t="str">
        <f>IF(KENKO[[#This Row],[NO. NOTA]]="","",INDEX([5]KE!$A:$A,MATCH(KENKO[[#This Row],[NO. NOTA]],[5]KE!$D:$D,0)))</f>
        <v/>
      </c>
      <c r="G96" s="3" t="str">
        <f>IF(KENKO[[#This Row],[ID NOTA]]="","",INDEX([6]!NOTA[TGL_H],MATCH(KENKO[[#This Row],[ID NOTA]],[6]!NOTA[ID],0)))</f>
        <v/>
      </c>
      <c r="H96" s="3" t="str">
        <f>IF(KENKO[[#This Row],[ID NOTA]]="","",INDEX([6]!NOTA[TGL.NOTA],MATCH(KENKO[[#This Row],[ID NOTA]],[6]!NOTA[ID],0)))</f>
        <v/>
      </c>
      <c r="I96" s="19" t="str">
        <f>IF(KENKO[[#This Row],[ID NOTA]]="","",INDEX([6]!NOTA[NO.NOTA],MATCH(KENKO[[#This Row],[ID NOTA]],[6]!NOTA[ID],0)))</f>
        <v/>
      </c>
      <c r="J96" s="4" t="s">
        <v>203</v>
      </c>
      <c r="K96" s="6" t="str">
        <f>""</f>
        <v/>
      </c>
      <c r="L96" s="6">
        <f ca="1">IF(KENKO[//]="","",IF(INDEX([6]!NOTA[QTY],KENKO[//]-2)="",INDEX([6]!NOTA[C],KENKO[//]-2),INDEX([6]!NOTA[QTY],KENKO[//]-2)))</f>
        <v>1</v>
      </c>
      <c r="M96" s="6" t="str">
        <f ca="1">IF(KENKO[//]="","",IF(INDEX([6]!NOTA[STN],KENKO[//]-2)="","CTN",INDEX([6]!NOTA[STN],KENKO[//]-2)))</f>
        <v>CTN</v>
      </c>
      <c r="N96" s="5">
        <f ca="1">IF(KENKO[[#This Row],[//]]="","",IF(INDEX([6]!NOTA[HARGA/ CTN],KENKO[[#This Row],[//]]-2)="",INDEX([6]!NOTA[HARGA SATUAN],KENKO[//]-2),INDEX([6]!NOTA[HARGA/ CTN],KENKO[[#This Row],[//]]-2)))</f>
        <v>2160000</v>
      </c>
      <c r="O96" s="8">
        <f ca="1">IF(KENKO[[#This Row],[//]]="","",INDEX([6]!NOTA[DISC 1],KENKO[[#This Row],[//]]-2))</f>
        <v>0.17</v>
      </c>
      <c r="P96" s="8">
        <f ca="1">IF(KENKO[[#This Row],[//]]="","",INDEX([6]!NOTA[DISC 2],KENKO[[#This Row],[//]]-2))</f>
        <v>0</v>
      </c>
      <c r="Q96" s="5">
        <f ca="1">IF(KENKO[[#This Row],[//]]="","",INDEX([6]!NOTA[JUMLAH],KENKO[[#This Row],[//]]-2)*(100%-IF(ISNUMBER(KENKO[[#This Row],[DISC 1 (%)]]),KENKO[[#This Row],[DISC 1 (%)]],0)))</f>
        <v>1792800</v>
      </c>
      <c r="R9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795600</v>
      </c>
      <c r="S9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3884400</v>
      </c>
      <c r="T9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Row],[//]]="","",INDEX([6]!NOTA[NAMA BARANG],KENKO[[#This Row],[//]]-2))</f>
        <v>KENKO GLUE STICK 25GR (LARGE)</v>
      </c>
      <c r="V96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96" s="4" t="s">
        <v>137</v>
      </c>
      <c r="X96" s="4" t="str">
        <f ca="1">IF(KENKO[[#This Row],[N.B.nota]]="","",ADDRESS(ROW(KENKO[QB]),COLUMN(KENKO[QB]))&amp;":"&amp;ADDRESS(ROW(),COLUMN(KENKO[QB])))</f>
        <v>$D$3:$D$96</v>
      </c>
      <c r="Y96" s="22" t="str">
        <f ca="1">IF(KENKO[[#This Row],[//]]="","",HYPERLINK("[..\\DB.xlsx]DB!e"&amp;MATCH(KENKO[[#This Row],[concat]],[4]!db[NB NOTA_C],0)+1,"&gt;"))</f>
        <v>&gt;</v>
      </c>
    </row>
    <row r="97" spans="1:25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NOTA]]="","",HYPERLINK("[NOTA_.xlsx]NOTA!e"&amp;INDEX([6]!PAJAK[//],MATCH(KENKO[[#This Row],[ID NOTA]],[6]!PAJAK[ID],0)),"&gt;") )</f>
        <v/>
      </c>
      <c r="D97" s="6" t="str">
        <f>IF(KENKO[[#This Row],[ID NOTA]]="","",INDEX(Table1[QB],MATCH(KENKO[[#This Row],[ID NOTA]],Table1[ID],0)))</f>
        <v/>
      </c>
      <c r="E9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7" s="6" t="str">
        <f>IF(KENKO[[#This Row],[NO. NOTA]]="","",INDEX([5]KE!$A:$A,MATCH(KENKO[[#This Row],[NO. NOTA]],[5]KE!$D:$D,0)))</f>
        <v/>
      </c>
      <c r="G97" s="3" t="str">
        <f>IF(KENKO[[#This Row],[ID NOTA]]="","",INDEX([6]!NOTA[TGL_H],MATCH(KENKO[[#This Row],[ID NOTA]],[6]!NOTA[ID],0)))</f>
        <v/>
      </c>
      <c r="H97" s="3" t="str">
        <f>IF(KENKO[[#This Row],[ID NOTA]]="","",INDEX([6]!NOTA[TGL.NOTA],MATCH(KENKO[[#This Row],[ID NOTA]],[6]!NOTA[ID],0)))</f>
        <v/>
      </c>
      <c r="I97" s="19" t="str">
        <f>IF(KENKO[[#This Row],[ID NOTA]]="","",INDEX([6]!NOTA[NO.NOTA],MATCH(KENKO[[#This Row],[ID NOTA]],[6]!NOTA[ID],0)))</f>
        <v/>
      </c>
      <c r="J97" s="4" t="s">
        <v>136</v>
      </c>
      <c r="K97" s="6" t="str">
        <f>""</f>
        <v/>
      </c>
      <c r="L97" s="6" t="str">
        <f ca="1">IF(KENKO[//]="","",IF(INDEX([6]!NOTA[QTY],KENKO[//]-2)="",INDEX([6]!NOTA[C],KENKO[//]-2),INDEX([6]!NOTA[QTY],KENKO[//]-2)))</f>
        <v/>
      </c>
      <c r="M97" s="6" t="str">
        <f ca="1">IF(KENKO[//]="","",IF(INDEX([6]!NOTA[STN],KENKO[//]-2)="","CTN",INDEX([6]!NOTA[STN],KENKO[//]-2)))</f>
        <v/>
      </c>
      <c r="N97" s="5" t="str">
        <f ca="1">IF(KENKO[[#This Row],[//]]="","",IF(INDEX([6]!NOTA[HARGA/ CTN],KENKO[[#This Row],[//]]-2)="",INDEX([6]!NOTA[HARGA SATUAN],KENKO[//]-2),INDEX([6]!NOTA[HARGA/ CTN],KENKO[[#This Row],[//]]-2)))</f>
        <v/>
      </c>
      <c r="O97" s="8" t="str">
        <f ca="1">IF(KENKO[[#This Row],[//]]="","",INDEX([6]!NOTA[DISC 1],KENKO[[#This Row],[//]]-2))</f>
        <v/>
      </c>
      <c r="P97" s="8" t="str">
        <f ca="1">IF(KENKO[[#This Row],[//]]="","",INDEX([6]!NOTA[DISC 2],KENKO[[#This Row],[//]]-2))</f>
        <v/>
      </c>
      <c r="Q97" s="5" t="str">
        <f ca="1">IF(KENKO[[#This Row],[//]]="","",INDEX([6]!NOTA[JUMLAH],KENKO[[#This Row],[//]]-2)*(100%-IF(ISNUMBER(KENKO[[#This Row],[DISC 1 (%)]]),KENKO[[#This Row],[DISC 1 (%)]],0)))</f>
        <v/>
      </c>
      <c r="R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Row],[//]]="","",INDEX([6]!NOTA[NAMA BARANG],KENKO[[#This Row],[//]]-2))</f>
        <v/>
      </c>
      <c r="V97" s="4" t="str">
        <f ca="1">LOWER(SUBSTITUTE(SUBSTITUTE(SUBSTITUTE(SUBSTITUTE(SUBSTITUTE(SUBSTITUTE(SUBSTITUTE(SUBSTITUTE(KENKO[[#This Row],[N.B.nota]]," ",""),"-",""),"(",""),")",""),".",""),",",""),"/",""),"""",""))</f>
        <v/>
      </c>
      <c r="W97" s="4" t="s">
        <v>136</v>
      </c>
      <c r="X97" s="4" t="str">
        <f ca="1">IF(KENKO[[#This Row],[N.B.nota]]="","",ADDRESS(ROW(KENKO[QB]),COLUMN(KENKO[QB]))&amp;":"&amp;ADDRESS(ROW(),COLUMN(KENKO[QB])))</f>
        <v/>
      </c>
      <c r="Y97" s="22" t="str">
        <f ca="1">IF(KENKO[[#This Row],[//]]="","",HYPERLINK("[..\\DB.xlsx]DB!e"&amp;MATCH(KENKO[[#This Row],[concat]],[4]!db[NB NOTA_C],0)+1,"&gt;"))</f>
        <v/>
      </c>
    </row>
    <row r="98" spans="1:25" x14ac:dyDescent="0.25">
      <c r="A98" s="4" t="s">
        <v>71</v>
      </c>
      <c r="B98" s="6">
        <f ca="1">IF(KENKO[[#This Row],[N_ID]]="","",INDEX(Table1[ID],MATCH(KENKO[[#This Row],[N_ID]],Table1[N_ID],0)))</f>
        <v>96</v>
      </c>
      <c r="C98" s="6" t="str">
        <f ca="1">IF(KENKO[[#This Row],[ID NOTA]]="","",HYPERLINK("[NOTA_.xlsx]NOTA!e"&amp;INDEX([6]!PAJAK[//],MATCH(KENKO[[#This Row],[ID NOTA]],[6]!PAJAK[ID],0)),"&gt;") )</f>
        <v>&gt;</v>
      </c>
      <c r="D98" s="6">
        <f ca="1">IF(KENKO[[#This Row],[ID NOTA]]="","",INDEX(Table1[QB],MATCH(KENKO[[#This Row],[ID NOTA]],Table1[ID],0)))</f>
        <v>10</v>
      </c>
      <c r="E9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483</v>
      </c>
      <c r="F98" s="6" t="e">
        <f ca="1">IF(KENKO[[#This Row],[NO. NOTA]]="","",INDEX([5]KE!$A:$A,MATCH(KENKO[[#This Row],[NO. NOTA]],[5]KE!$D:$D,0)))</f>
        <v>#N/A</v>
      </c>
      <c r="G98" s="3">
        <f ca="1">IF(KENKO[[#This Row],[ID NOTA]]="","",INDEX([6]!NOTA[TGL_H],MATCH(KENKO[[#This Row],[ID NOTA]],[6]!NOTA[ID],0)))</f>
        <v>44760</v>
      </c>
      <c r="H98" s="3">
        <f ca="1">IF(KENKO[[#This Row],[ID NOTA]]="","",INDEX([6]!NOTA[TGL.NOTA],MATCH(KENKO[[#This Row],[ID NOTA]],[6]!NOTA[ID],0)))</f>
        <v>44755</v>
      </c>
      <c r="I98" s="19" t="str">
        <f ca="1">IF(KENKO[[#This Row],[ID NOTA]]="","",INDEX([6]!NOTA[NO.NOTA],MATCH(KENKO[[#This Row],[ID NOTA]],[6]!NOTA[ID],0)))</f>
        <v>22071054</v>
      </c>
      <c r="J98" s="4" t="s">
        <v>199</v>
      </c>
      <c r="K98" s="6" t="str">
        <f>""</f>
        <v/>
      </c>
      <c r="L98" s="6">
        <f ca="1">IF(KENKO[//]="","",IF(INDEX([6]!NOTA[QTY],KENKO[//]-2)="",INDEX([6]!NOTA[C],KENKO[//]-2),INDEX([6]!NOTA[QTY],KENKO[//]-2)))</f>
        <v>1</v>
      </c>
      <c r="M98" s="6" t="str">
        <f ca="1">IF(KENKO[//]="","",IF(INDEX([6]!NOTA[STN],KENKO[//]-2)="","CTN",INDEX([6]!NOTA[STN],KENKO[//]-2)))</f>
        <v>CTN</v>
      </c>
      <c r="N98" s="5">
        <f ca="1">IF(KENKO[[#This Row],[//]]="","",IF(INDEX([6]!NOTA[HARGA/ CTN],KENKO[[#This Row],[//]]-2)="",INDEX([6]!NOTA[HARGA SATUAN],KENKO[//]-2),INDEX([6]!NOTA[HARGA/ CTN],KENKO[[#This Row],[//]]-2)))</f>
        <v>800000</v>
      </c>
      <c r="O98" s="8">
        <f ca="1">IF(KENKO[[#This Row],[//]]="","",INDEX([6]!NOTA[DISC 1],KENKO[[#This Row],[//]]-2))</f>
        <v>0.17</v>
      </c>
      <c r="P98" s="8">
        <f ca="1">IF(KENKO[[#This Row],[//]]="","",INDEX([6]!NOTA[DISC 2],KENKO[[#This Row],[//]]-2))</f>
        <v>0</v>
      </c>
      <c r="Q98" s="5">
        <f ca="1">IF(KENKO[[#This Row],[//]]="","",INDEX([6]!NOTA[JUMLAH],KENKO[[#This Row],[//]]-2)*(100%-IF(ISNUMBER(KENKO[[#This Row],[DISC 1 (%)]]),KENKO[[#This Row],[DISC 1 (%)]],0)))</f>
        <v>664000</v>
      </c>
      <c r="R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Row],[//]]="","",INDEX([6]!NOTA[NAMA BARANG],KENKO[[#This Row],[//]]-2))</f>
        <v>KENKO TRIGONAL CLIP NO.3</v>
      </c>
      <c r="V98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98" s="4" t="s">
        <v>137</v>
      </c>
      <c r="X98" s="4" t="str">
        <f ca="1">IF(KENKO[[#This Row],[N.B.nota]]="","",ADDRESS(ROW(KENKO[QB]),COLUMN(KENKO[QB]))&amp;":"&amp;ADDRESS(ROW(),COLUMN(KENKO[QB])))</f>
        <v>$D$3:$D$98</v>
      </c>
      <c r="Y98" s="22" t="str">
        <f ca="1">IF(KENKO[[#This Row],[//]]="","",HYPERLINK("[..\\DB.xlsx]DB!e"&amp;MATCH(KENKO[[#This Row],[concat]],[4]!db[NB NOTA_C],0)+1,"&gt;"))</f>
        <v>&gt;</v>
      </c>
    </row>
    <row r="99" spans="1:25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NOTA]]="","",HYPERLINK("[NOTA_.xlsx]NOTA!e"&amp;INDEX([6]!PAJAK[//],MATCH(KENKO[[#This Row],[ID NOTA]],[6]!PAJAK[ID],0)),"&gt;")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484</v>
      </c>
      <c r="F99" s="6" t="str">
        <f>IF(KENKO[[#This Row],[NO. NOTA]]="","",INDEX([5]KE!$A:$A,MATCH(KENKO[[#This Row],[NO. NOTA]],[5]KE!$D:$D,0)))</f>
        <v/>
      </c>
      <c r="G99" s="3" t="str">
        <f>IF(KENKO[[#This Row],[ID NOTA]]="","",INDEX([6]!NOTA[TGL_H],MATCH(KENKO[[#This Row],[ID NOTA]],[6]!NOTA[ID],0)))</f>
        <v/>
      </c>
      <c r="H99" s="3" t="str">
        <f>IF(KENKO[[#This Row],[ID NOTA]]="","",INDEX([6]!NOTA[TGL.NOTA],MATCH(KENKO[[#This Row],[ID NOTA]],[6]!NOTA[ID],0)))</f>
        <v/>
      </c>
      <c r="I99" s="19" t="str">
        <f>IF(KENKO[[#This Row],[ID NOTA]]="","",INDEX([6]!NOTA[NO.NOTA],MATCH(KENKO[[#This Row],[ID NOTA]],[6]!NOTA[ID],0)))</f>
        <v/>
      </c>
      <c r="J99" s="4" t="s">
        <v>200</v>
      </c>
      <c r="K99" s="6" t="str">
        <f>""</f>
        <v/>
      </c>
      <c r="L99" s="6">
        <f ca="1">IF(KENKO[//]="","",IF(INDEX([6]!NOTA[QTY],KENKO[//]-2)="",INDEX([6]!NOTA[C],KENKO[//]-2),INDEX([6]!NOTA[QTY],KENKO[//]-2)))</f>
        <v>1</v>
      </c>
      <c r="M99" s="6" t="str">
        <f ca="1">IF(KENKO[//]="","",IF(INDEX([6]!NOTA[STN],KENKO[//]-2)="","CTN",INDEX([6]!NOTA[STN],KENKO[//]-2)))</f>
        <v>CTN</v>
      </c>
      <c r="N99" s="5">
        <f ca="1">IF(KENKO[[#This Row],[//]]="","",IF(INDEX([6]!NOTA[HARGA/ CTN],KENKO[[#This Row],[//]]-2)="",INDEX([6]!NOTA[HARGA SATUAN],KENKO[//]-2),INDEX([6]!NOTA[HARGA/ CTN],KENKO[[#This Row],[//]]-2)))</f>
        <v>860000</v>
      </c>
      <c r="O99" s="8">
        <f ca="1">IF(KENKO[[#This Row],[//]]="","",INDEX([6]!NOTA[DISC 1],KENKO[[#This Row],[//]]-2))</f>
        <v>0.17</v>
      </c>
      <c r="P99" s="8">
        <f ca="1">IF(KENKO[[#This Row],[//]]="","",INDEX([6]!NOTA[DISC 2],KENKO[[#This Row],[//]]-2))</f>
        <v>0</v>
      </c>
      <c r="Q99" s="5">
        <f ca="1">IF(KENKO[[#This Row],[//]]="","",INDEX([6]!NOTA[JUMLAH],KENKO[[#This Row],[//]]-2)*(100%-IF(ISNUMBER(KENKO[[#This Row],[DISC 1 (%)]]),KENKO[[#This Row],[DISC 1 (%)]],0)))</f>
        <v>713800</v>
      </c>
      <c r="R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Row],[//]]="","",INDEX([6]!NOTA[NAMA BARANG],KENKO[[#This Row],[//]]-2))</f>
        <v>KENKO JUMBO CLIP NO.5</v>
      </c>
      <c r="V99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99" s="4" t="s">
        <v>137</v>
      </c>
      <c r="X99" s="4" t="str">
        <f ca="1">IF(KENKO[[#This Row],[N.B.nota]]="","",ADDRESS(ROW(KENKO[QB]),COLUMN(KENKO[QB]))&amp;":"&amp;ADDRESS(ROW(),COLUMN(KENKO[QB])))</f>
        <v>$D$3:$D$99</v>
      </c>
      <c r="Y99" s="22" t="str">
        <f ca="1">IF(KENKO[[#This Row],[//]]="","",HYPERLINK("[..\\DB.xlsx]DB!e"&amp;MATCH(KENKO[[#This Row],[concat]],[4]!db[NB NOTA_C],0)+1,"&gt;"))</f>
        <v>&gt;</v>
      </c>
    </row>
    <row r="100" spans="1:25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NOTA]]="","",HYPERLINK("[NOTA_.xlsx]NOTA!e"&amp;INDEX([6]!PAJAK[//],MATCH(KENKO[[#This Row],[ID NOTA]],[6]!PAJAK[ID],0)),"&gt;")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485</v>
      </c>
      <c r="F100" s="6" t="str">
        <f>IF(KENKO[[#This Row],[NO. NOTA]]="","",INDEX([5]KE!$A:$A,MATCH(KENKO[[#This Row],[NO. NOTA]],[5]KE!$D:$D,0)))</f>
        <v/>
      </c>
      <c r="G100" s="3" t="str">
        <f>IF(KENKO[[#This Row],[ID NOTA]]="","",INDEX([6]!NOTA[TGL_H],MATCH(KENKO[[#This Row],[ID NOTA]],[6]!NOTA[ID],0)))</f>
        <v/>
      </c>
      <c r="H100" s="3" t="str">
        <f>IF(KENKO[[#This Row],[ID NOTA]]="","",INDEX([6]!NOTA[TGL.NOTA],MATCH(KENKO[[#This Row],[ID NOTA]],[6]!NOTA[ID],0)))</f>
        <v/>
      </c>
      <c r="I100" s="19" t="str">
        <f>IF(KENKO[[#This Row],[ID NOTA]]="","",INDEX([6]!NOTA[NO.NOTA],MATCH(KENKO[[#This Row],[ID NOTA]],[6]!NOTA[ID],0)))</f>
        <v/>
      </c>
      <c r="J100" s="4" t="s">
        <v>215</v>
      </c>
      <c r="K100" s="6" t="str">
        <f>""</f>
        <v/>
      </c>
      <c r="L100" s="6">
        <f ca="1">IF(KENKO[//]="","",IF(INDEX([6]!NOTA[QTY],KENKO[//]-2)="",INDEX([6]!NOTA[C],KENKO[//]-2),INDEX([6]!NOTA[QTY],KENKO[//]-2)))</f>
        <v>2</v>
      </c>
      <c r="M100" s="6" t="str">
        <f ca="1">IF(KENKO[//]="","",IF(INDEX([6]!NOTA[STN],KENKO[//]-2)="","CTN",INDEX([6]!NOTA[STN],KENKO[//]-2)))</f>
        <v>CTN</v>
      </c>
      <c r="N100" s="5">
        <f ca="1">IF(KENKO[[#This Row],[//]]="","",IF(INDEX([6]!NOTA[HARGA/ CTN],KENKO[[#This Row],[//]]-2)="",INDEX([6]!NOTA[HARGA SATUAN],KENKO[//]-2),INDEX([6]!NOTA[HARGA/ CTN],KENKO[[#This Row],[//]]-2)))</f>
        <v>2448000</v>
      </c>
      <c r="O100" s="8">
        <f ca="1">IF(KENKO[[#This Row],[//]]="","",INDEX([6]!NOTA[DISC 1],KENKO[[#This Row],[//]]-2))</f>
        <v>0.17</v>
      </c>
      <c r="P100" s="8">
        <f ca="1">IF(KENKO[[#This Row],[//]]="","",INDEX([6]!NOTA[DISC 2],KENKO[[#This Row],[//]]-2))</f>
        <v>0</v>
      </c>
      <c r="Q100" s="5">
        <f ca="1">IF(KENKO[[#This Row],[//]]="","",INDEX([6]!NOTA[JUMLAH],KENKO[[#This Row],[//]]-2)*(100%-IF(ISNUMBER(KENKO[[#This Row],[DISC 1 (%)]]),KENKO[[#This Row],[DISC 1 (%)]],0)))</f>
        <v>4063680</v>
      </c>
      <c r="R10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Row],[//]]="","",INDEX([6]!NOTA[NAMA BARANG],KENKO[[#This Row],[//]]-2))</f>
        <v>KENKO 24 COLOR PENCIL CP-24F NON WOOD - CLASSIC</v>
      </c>
      <c r="V100" s="4" t="str">
        <f ca="1">LOWER(SUBSTITUTE(SUBSTITUTE(SUBSTITUTE(SUBSTITUTE(SUBSTITUTE(SUBSTITUTE(SUBSTITUTE(SUBSTITUTE(KENKO[[#This Row],[N.B.nota]]," ",""),"-",""),"(",""),")",""),".",""),",",""),"/",""),"""",""))</f>
        <v>kenko24colorpencilcp24fnonwoodclassic</v>
      </c>
      <c r="W100" s="4" t="s">
        <v>137</v>
      </c>
      <c r="X100" s="4" t="str">
        <f ca="1">IF(KENKO[[#This Row],[N.B.nota]]="","",ADDRESS(ROW(KENKO[QB]),COLUMN(KENKO[QB]))&amp;":"&amp;ADDRESS(ROW(),COLUMN(KENKO[QB])))</f>
        <v>$D$3:$D$100</v>
      </c>
      <c r="Y100" s="22" t="str">
        <f ca="1">IF(KENKO[[#This Row],[//]]="","",HYPERLINK("[..\\DB.xlsx]DB!e"&amp;MATCH(KENKO[[#This Row],[concat]],[4]!db[NB NOTA_C],0)+1,"&gt;"))</f>
        <v>&gt;</v>
      </c>
    </row>
    <row r="101" spans="1:25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NOTA]]="","",HYPERLINK("[NOTA_.xlsx]NOTA!e"&amp;INDEX([6]!PAJAK[//],MATCH(KENKO[[#This Row],[ID NOTA]],[6]!PAJAK[ID],0)),"&gt;") )</f>
        <v/>
      </c>
      <c r="D101" s="6" t="str">
        <f>IF(KENKO[[#This Row],[ID NOTA]]="","",INDEX(Table1[QB],MATCH(KENKO[[#This Row],[ID NOTA]],Table1[ID],0)))</f>
        <v/>
      </c>
      <c r="E10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486</v>
      </c>
      <c r="F101" s="6" t="str">
        <f>IF(KENKO[[#This Row],[NO. NOTA]]="","",INDEX([5]KE!$A:$A,MATCH(KENKO[[#This Row],[NO. NOTA]],[5]KE!$D:$D,0)))</f>
        <v/>
      </c>
      <c r="G101" s="3" t="str">
        <f>IF(KENKO[[#This Row],[ID NOTA]]="","",INDEX([6]!NOTA[TGL_H],MATCH(KENKO[[#This Row],[ID NOTA]],[6]!NOTA[ID],0)))</f>
        <v/>
      </c>
      <c r="H101" s="3" t="str">
        <f>IF(KENKO[[#This Row],[ID NOTA]]="","",INDEX([6]!NOTA[TGL.NOTA],MATCH(KENKO[[#This Row],[ID NOTA]],[6]!NOTA[ID],0)))</f>
        <v/>
      </c>
      <c r="I101" s="19" t="str">
        <f>IF(KENKO[[#This Row],[ID NOTA]]="","",INDEX([6]!NOTA[NO.NOTA],MATCH(KENKO[[#This Row],[ID NOTA]],[6]!NOTA[ID],0)))</f>
        <v/>
      </c>
      <c r="J101" s="4" t="s">
        <v>216</v>
      </c>
      <c r="K101" s="6" t="str">
        <f>""</f>
        <v/>
      </c>
      <c r="L101" s="6">
        <f ca="1">IF(KENKO[//]="","",IF(INDEX([6]!NOTA[QTY],KENKO[//]-2)="",INDEX([6]!NOTA[C],KENKO[//]-2),INDEX([6]!NOTA[QTY],KENKO[//]-2)))</f>
        <v>1</v>
      </c>
      <c r="M101" s="6" t="str">
        <f ca="1">IF(KENKO[//]="","",IF(INDEX([6]!NOTA[STN],KENKO[//]-2)="","CTN",INDEX([6]!NOTA[STN],KENKO[//]-2)))</f>
        <v>CTN</v>
      </c>
      <c r="N101" s="5">
        <f ca="1">IF(KENKO[[#This Row],[//]]="","",IF(INDEX([6]!NOTA[HARGA/ CTN],KENKO[[#This Row],[//]]-2)="",INDEX([6]!NOTA[HARGA SATUAN],KENKO[//]-2),INDEX([6]!NOTA[HARGA/ CTN],KENKO[[#This Row],[//]]-2)))</f>
        <v>2640000</v>
      </c>
      <c r="O101" s="8">
        <f ca="1">IF(KENKO[[#This Row],[//]]="","",INDEX([6]!NOTA[DISC 1],KENKO[[#This Row],[//]]-2))</f>
        <v>0.17</v>
      </c>
      <c r="P101" s="8">
        <f ca="1">IF(KENKO[[#This Row],[//]]="","",INDEX([6]!NOTA[DISC 2],KENKO[[#This Row],[//]]-2))</f>
        <v>0</v>
      </c>
      <c r="Q101" s="5">
        <f ca="1">IF(KENKO[[#This Row],[//]]="","",INDEX([6]!NOTA[JUMLAH],KENKO[[#This Row],[//]]-2)*(100%-IF(ISNUMBER(KENKO[[#This Row],[DISC 1 (%)]]),KENKO[[#This Row],[DISC 1 (%)]],0)))</f>
        <v>2191200</v>
      </c>
      <c r="R1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Row],[//]]="","",INDEX([6]!NOTA[NAMA BARANG],KENKO[[#This Row],[//]]-2))</f>
        <v>KENKO 36 COLOR PENCIL CP-36F CLASSIC</v>
      </c>
      <c r="V101" s="4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101" s="4" t="s">
        <v>137</v>
      </c>
      <c r="X101" s="4" t="str">
        <f ca="1">IF(KENKO[[#This Row],[N.B.nota]]="","",ADDRESS(ROW(KENKO[QB]),COLUMN(KENKO[QB]))&amp;":"&amp;ADDRESS(ROW(),COLUMN(KENKO[QB])))</f>
        <v>$D$3:$D$101</v>
      </c>
      <c r="Y101" s="22" t="str">
        <f ca="1">IF(KENKO[[#This Row],[//]]="","",HYPERLINK("[..\\DB.xlsx]DB!e"&amp;MATCH(KENKO[[#This Row],[concat]],[4]!db[NB NOTA_C],0)+1,"&gt;"))</f>
        <v>&gt;</v>
      </c>
    </row>
    <row r="102" spans="1:25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NOTA]]="","",HYPERLINK("[NOTA_.xlsx]NOTA!e"&amp;INDEX([6]!PAJAK[//],MATCH(KENKO[[#This Row],[ID NOTA]],[6]!PAJAK[ID],0)),"&gt;")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487</v>
      </c>
      <c r="F102" s="6" t="str">
        <f>IF(KENKO[[#This Row],[NO. NOTA]]="","",INDEX([5]KE!$A:$A,MATCH(KENKO[[#This Row],[NO. NOTA]],[5]KE!$D:$D,0)))</f>
        <v/>
      </c>
      <c r="G102" s="3" t="str">
        <f>IF(KENKO[[#This Row],[ID NOTA]]="","",INDEX([6]!NOTA[TGL_H],MATCH(KENKO[[#This Row],[ID NOTA]],[6]!NOTA[ID],0)))</f>
        <v/>
      </c>
      <c r="H102" s="3" t="str">
        <f>IF(KENKO[[#This Row],[ID NOTA]]="","",INDEX([6]!NOTA[TGL.NOTA],MATCH(KENKO[[#This Row],[ID NOTA]],[6]!NOTA[ID],0)))</f>
        <v/>
      </c>
      <c r="I102" s="19" t="str">
        <f>IF(KENKO[[#This Row],[ID NOTA]]="","",INDEX([6]!NOTA[NO.NOTA],MATCH(KENKO[[#This Row],[ID NOTA]],[6]!NOTA[ID],0)))</f>
        <v/>
      </c>
      <c r="J102" s="4" t="s">
        <v>202</v>
      </c>
      <c r="K102" s="6" t="str">
        <f>""</f>
        <v/>
      </c>
      <c r="L102" s="6">
        <f ca="1">IF(KENKO[//]="","",IF(INDEX([6]!NOTA[QTY],KENKO[//]-2)="",INDEX([6]!NOTA[C],KENKO[//]-2),INDEX([6]!NOTA[QTY],KENKO[//]-2)))</f>
        <v>3</v>
      </c>
      <c r="M102" s="6" t="str">
        <f ca="1">IF(KENKO[//]="","",IF(INDEX([6]!NOTA[STN],KENKO[//]-2)="","CTN",INDEX([6]!NOTA[STN],KENKO[//]-2)))</f>
        <v>CTN</v>
      </c>
      <c r="N102" s="5">
        <f ca="1">IF(KENKO[[#This Row],[//]]="","",IF(INDEX([6]!NOTA[HARGA/ CTN],KENKO[[#This Row],[//]]-2)="",INDEX([6]!NOTA[HARGA SATUAN],KENKO[//]-2),INDEX([6]!NOTA[HARGA/ CTN],KENKO[[#This Row],[//]]-2)))</f>
        <v>2376000</v>
      </c>
      <c r="O102" s="8">
        <f ca="1">IF(KENKO[[#This Row],[//]]="","",INDEX([6]!NOTA[DISC 1],KENKO[[#This Row],[//]]-2))</f>
        <v>0.17</v>
      </c>
      <c r="P102" s="8">
        <f ca="1">IF(KENKO[[#This Row],[//]]="","",INDEX([6]!NOTA[DISC 2],KENKO[[#This Row],[//]]-2))</f>
        <v>0</v>
      </c>
      <c r="Q102" s="5">
        <f ca="1">IF(KENKO[[#This Row],[//]]="","",INDEX([6]!NOTA[JUMLAH],KENKO[[#This Row],[//]]-2)*(100%-IF(ISNUMBER(KENKO[[#This Row],[DISC 1 (%)]]),KENKO[[#This Row],[DISC 1 (%)]],0)))</f>
        <v>5916240</v>
      </c>
      <c r="R1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Row],[//]]="","",INDEX([6]!NOTA[NAMA BARANG],KENKO[[#This Row],[//]]-2))</f>
        <v>KENKO GLUE STICK 8GR (SMALL)</v>
      </c>
      <c r="V102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02" s="4" t="s">
        <v>137</v>
      </c>
      <c r="X102" s="4" t="str">
        <f ca="1">IF(KENKO[[#This Row],[N.B.nota]]="","",ADDRESS(ROW(KENKO[QB]),COLUMN(KENKO[QB]))&amp;":"&amp;ADDRESS(ROW(),COLUMN(KENKO[QB])))</f>
        <v>$D$3:$D$102</v>
      </c>
      <c r="Y102" s="22" t="str">
        <f ca="1">IF(KENKO[[#This Row],[//]]="","",HYPERLINK("[..\\DB.xlsx]DB!e"&amp;MATCH(KENKO[[#This Row],[concat]],[4]!db[NB NOTA_C],0)+1,"&gt;"))</f>
        <v>&gt;</v>
      </c>
    </row>
    <row r="103" spans="1:25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NOTA]]="","",HYPERLINK("[NOTA_.xlsx]NOTA!e"&amp;INDEX([6]!PAJAK[//],MATCH(KENKO[[#This Row],[ID NOTA]],[6]!PAJAK[ID],0)),"&gt;") )</f>
        <v/>
      </c>
      <c r="D103" s="6" t="str">
        <f>IF(KENKO[[#This Row],[ID NOTA]]="","",INDEX(Table1[QB],MATCH(KENKO[[#This Row],[ID NOTA]],Table1[ID],0)))</f>
        <v/>
      </c>
      <c r="E10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488</v>
      </c>
      <c r="F103" s="6" t="str">
        <f>IF(KENKO[[#This Row],[NO. NOTA]]="","",INDEX([5]KE!$A:$A,MATCH(KENKO[[#This Row],[NO. NOTA]],[5]KE!$D:$D,0)))</f>
        <v/>
      </c>
      <c r="G103" s="3" t="str">
        <f>IF(KENKO[[#This Row],[ID NOTA]]="","",INDEX([6]!NOTA[TGL_H],MATCH(KENKO[[#This Row],[ID NOTA]],[6]!NOTA[ID],0)))</f>
        <v/>
      </c>
      <c r="H103" s="3" t="str">
        <f>IF(KENKO[[#This Row],[ID NOTA]]="","",INDEX([6]!NOTA[TGL.NOTA],MATCH(KENKO[[#This Row],[ID NOTA]],[6]!NOTA[ID],0)))</f>
        <v/>
      </c>
      <c r="I103" s="19" t="str">
        <f>IF(KENKO[[#This Row],[ID NOTA]]="","",INDEX([6]!NOTA[NO.NOTA],MATCH(KENKO[[#This Row],[ID NOTA]],[6]!NOTA[ID],0)))</f>
        <v/>
      </c>
      <c r="J103" s="4" t="s">
        <v>211</v>
      </c>
      <c r="K103" s="6" t="str">
        <f>""</f>
        <v/>
      </c>
      <c r="L103" s="6">
        <f ca="1">IF(KENKO[//]="","",IF(INDEX([6]!NOTA[QTY],KENKO[//]-2)="",INDEX([6]!NOTA[C],KENKO[//]-2),INDEX([6]!NOTA[QTY],KENKO[//]-2)))</f>
        <v>3</v>
      </c>
      <c r="M103" s="6" t="str">
        <f ca="1">IF(KENKO[//]="","",IF(INDEX([6]!NOTA[STN],KENKO[//]-2)="","CTN",INDEX([6]!NOTA[STN],KENKO[//]-2)))</f>
        <v>CTN</v>
      </c>
      <c r="N103" s="5">
        <f ca="1">IF(KENKO[[#This Row],[//]]="","",IF(INDEX([6]!NOTA[HARGA/ CTN],KENKO[[#This Row],[//]]-2)="",INDEX([6]!NOTA[HARGA SATUAN],KENKO[//]-2),INDEX([6]!NOTA[HARGA/ CTN],KENKO[[#This Row],[//]]-2)))</f>
        <v>2592000</v>
      </c>
      <c r="O103" s="8">
        <f ca="1">IF(KENKO[[#This Row],[//]]="","",INDEX([6]!NOTA[DISC 1],KENKO[[#This Row],[//]]-2))</f>
        <v>0.17</v>
      </c>
      <c r="P103" s="8">
        <f ca="1">IF(KENKO[[#This Row],[//]]="","",INDEX([6]!NOTA[DISC 2],KENKO[[#This Row],[//]]-2))</f>
        <v>0</v>
      </c>
      <c r="Q103" s="5">
        <f ca="1">IF(KENKO[[#This Row],[//]]="","",INDEX([6]!NOTA[JUMLAH],KENKO[[#This Row],[//]]-2)*(100%-IF(ISNUMBER(KENKO[[#This Row],[DISC 1 (%)]]),KENKO[[#This Row],[DISC 1 (%)]],0)))</f>
        <v>6454080</v>
      </c>
      <c r="R1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Row],[//]]="","",INDEX([6]!NOTA[NAMA BARANG],KENKO[[#This Row],[//]]-2))</f>
        <v>KENKO GLUE STICK 15GR (MEDIUM)</v>
      </c>
      <c r="V103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03" s="4" t="s">
        <v>137</v>
      </c>
      <c r="X103" s="4" t="str">
        <f ca="1">IF(KENKO[[#This Row],[N.B.nota]]="","",ADDRESS(ROW(KENKO[QB]),COLUMN(KENKO[QB]))&amp;":"&amp;ADDRESS(ROW(),COLUMN(KENKO[QB])))</f>
        <v>$D$3:$D$103</v>
      </c>
      <c r="Y103" s="22" t="str">
        <f ca="1">IF(KENKO[[#This Row],[//]]="","",HYPERLINK("[..\\DB.xlsx]DB!e"&amp;MATCH(KENKO[[#This Row],[concat]],[4]!db[NB NOTA_C],0)+1,"&gt;"))</f>
        <v>&gt;</v>
      </c>
    </row>
    <row r="104" spans="1:25" x14ac:dyDescent="0.25">
      <c r="A104" s="4"/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NOTA]]="","",HYPERLINK("[NOTA_.xlsx]NOTA!e"&amp;INDEX([6]!PAJAK[//],MATCH(KENKO[[#This Row],[ID NOTA]],[6]!PAJAK[ID],0)),"&gt;") )</f>
        <v/>
      </c>
      <c r="D104" s="6" t="str">
        <f>IF(KENKO[[#This Row],[ID NOTA]]="","",INDEX(Table1[QB],MATCH(KENKO[[#This Row],[ID NOTA]],Table1[ID],0)))</f>
        <v/>
      </c>
      <c r="E10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489</v>
      </c>
      <c r="F104" s="6" t="str">
        <f>IF(KENKO[[#This Row],[NO. NOTA]]="","",INDEX([5]KE!$A:$A,MATCH(KENKO[[#This Row],[NO. NOTA]],[5]KE!$D:$D,0)))</f>
        <v/>
      </c>
      <c r="G104" s="3" t="str">
        <f>IF(KENKO[[#This Row],[ID NOTA]]="","",INDEX([6]!NOTA[TGL_H],MATCH(KENKO[[#This Row],[ID NOTA]],[6]!NOTA[ID],0)))</f>
        <v/>
      </c>
      <c r="H104" s="3" t="str">
        <f>IF(KENKO[[#This Row],[ID NOTA]]="","",INDEX([6]!NOTA[TGL.NOTA],MATCH(KENKO[[#This Row],[ID NOTA]],[6]!NOTA[ID],0)))</f>
        <v/>
      </c>
      <c r="I104" s="19" t="str">
        <f>IF(KENKO[[#This Row],[ID NOTA]]="","",INDEX([6]!NOTA[NO.NOTA],MATCH(KENKO[[#This Row],[ID NOTA]],[6]!NOTA[ID],0)))</f>
        <v/>
      </c>
      <c r="J104" s="4" t="s">
        <v>203</v>
      </c>
      <c r="K104" s="6" t="str">
        <f>""</f>
        <v/>
      </c>
      <c r="L104" s="6">
        <f ca="1">IF(KENKO[//]="","",IF(INDEX([6]!NOTA[QTY],KENKO[//]-2)="",INDEX([6]!NOTA[C],KENKO[//]-2),INDEX([6]!NOTA[QTY],KENKO[//]-2)))</f>
        <v>3</v>
      </c>
      <c r="M104" s="6" t="str">
        <f ca="1">IF(KENKO[//]="","",IF(INDEX([6]!NOTA[STN],KENKO[//]-2)="","CTN",INDEX([6]!NOTA[STN],KENKO[//]-2)))</f>
        <v>CTN</v>
      </c>
      <c r="N104" s="5">
        <f ca="1">IF(KENKO[[#This Row],[//]]="","",IF(INDEX([6]!NOTA[HARGA/ CTN],KENKO[[#This Row],[//]]-2)="",INDEX([6]!NOTA[HARGA SATUAN],KENKO[//]-2),INDEX([6]!NOTA[HARGA/ CTN],KENKO[[#This Row],[//]]-2)))</f>
        <v>2160000</v>
      </c>
      <c r="O104" s="8">
        <f ca="1">IF(KENKO[[#This Row],[//]]="","",INDEX([6]!NOTA[DISC 1],KENKO[[#This Row],[//]]-2))</f>
        <v>0.17</v>
      </c>
      <c r="P104" s="8">
        <f ca="1">IF(KENKO[[#This Row],[//]]="","",INDEX([6]!NOTA[DISC 2],KENKO[[#This Row],[//]]-2))</f>
        <v>0</v>
      </c>
      <c r="Q104" s="5">
        <f ca="1">IF(KENKO[[#This Row],[//]]="","",INDEX([6]!NOTA[JUMLAH],KENKO[[#This Row],[//]]-2)*(100%-IF(ISNUMBER(KENKO[[#This Row],[DISC 1 (%)]]),KENKO[[#This Row],[DISC 1 (%)]],0)))</f>
        <v>5378400</v>
      </c>
      <c r="R10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Row],[//]]="","",INDEX([6]!NOTA[NAMA BARANG],KENKO[[#This Row],[//]]-2))</f>
        <v>KENKO GLUE STICK 25GR (LARGE)</v>
      </c>
      <c r="V104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4" s="4" t="s">
        <v>137</v>
      </c>
      <c r="X104" s="4" t="str">
        <f ca="1">IF(KENKO[[#This Row],[N.B.nota]]="","",ADDRESS(ROW(KENKO[QB]),COLUMN(KENKO[QB]))&amp;":"&amp;ADDRESS(ROW(),COLUMN(KENKO[QB])))</f>
        <v>$D$3:$D$104</v>
      </c>
      <c r="Y104" s="22" t="str">
        <f ca="1">IF(KENKO[[#This Row],[//]]="","",HYPERLINK("[..\\DB.xlsx]DB!e"&amp;MATCH(KENKO[[#This Row],[concat]],[4]!db[NB NOTA_C],0)+1,"&gt;"))</f>
        <v>&gt;</v>
      </c>
    </row>
    <row r="105" spans="1:25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NOTA]]="","",HYPERLINK("[NOTA_.xlsx]NOTA!e"&amp;INDEX([6]!PAJAK[//],MATCH(KENKO[[#This Row],[ID NOTA]],[6]!PAJAK[ID],0)),"&gt;")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490</v>
      </c>
      <c r="F105" s="6" t="str">
        <f>IF(KENKO[[#This Row],[NO. NOTA]]="","",INDEX([5]KE!$A:$A,MATCH(KENKO[[#This Row],[NO. NOTA]],[5]KE!$D:$D,0)))</f>
        <v/>
      </c>
      <c r="G105" s="3" t="str">
        <f>IF(KENKO[[#This Row],[ID NOTA]]="","",INDEX([6]!NOTA[TGL_H],MATCH(KENKO[[#This Row],[ID NOTA]],[6]!NOTA[ID],0)))</f>
        <v/>
      </c>
      <c r="H105" s="3" t="str">
        <f>IF(KENKO[[#This Row],[ID NOTA]]="","",INDEX([6]!NOTA[TGL.NOTA],MATCH(KENKO[[#This Row],[ID NOTA]],[6]!NOTA[ID],0)))</f>
        <v/>
      </c>
      <c r="I105" s="19" t="str">
        <f>IF(KENKO[[#This Row],[ID NOTA]]="","",INDEX([6]!NOTA[NO.NOTA],MATCH(KENKO[[#This Row],[ID NOTA]],[6]!NOTA[ID],0)))</f>
        <v/>
      </c>
      <c r="J105" s="4" t="s">
        <v>217</v>
      </c>
      <c r="K105" s="6" t="str">
        <f>""</f>
        <v/>
      </c>
      <c r="L105" s="6">
        <f ca="1">IF(KENKO[//]="","",IF(INDEX([6]!NOTA[QTY],KENKO[//]-2)="",INDEX([6]!NOTA[C],KENKO[//]-2),INDEX([6]!NOTA[QTY],KENKO[//]-2)))</f>
        <v>2</v>
      </c>
      <c r="M105" s="6" t="str">
        <f ca="1">IF(KENKO[//]="","",IF(INDEX([6]!NOTA[STN],KENKO[//]-2)="","CTN",INDEX([6]!NOTA[STN],KENKO[//]-2)))</f>
        <v>CTN</v>
      </c>
      <c r="N105" s="5">
        <f ca="1">IF(KENKO[[#This Row],[//]]="","",IF(INDEX([6]!NOTA[HARGA/ CTN],KENKO[[#This Row],[//]]-2)="",INDEX([6]!NOTA[HARGA SATUAN],KENKO[//]-2),INDEX([6]!NOTA[HARGA/ CTN],KENKO[[#This Row],[//]]-2)))</f>
        <v>1548000</v>
      </c>
      <c r="O105" s="8">
        <f ca="1">IF(KENKO[[#This Row],[//]]="","",INDEX([6]!NOTA[DISC 1],KENKO[[#This Row],[//]]-2))</f>
        <v>0.17</v>
      </c>
      <c r="P105" s="8">
        <f ca="1">IF(KENKO[[#This Row],[//]]="","",INDEX([6]!NOTA[DISC 2],KENKO[[#This Row],[//]]-2))</f>
        <v>0</v>
      </c>
      <c r="Q105" s="5">
        <f ca="1">IF(KENKO[[#This Row],[//]]="","",INDEX([6]!NOTA[JUMLAH],KENKO[[#This Row],[//]]-2)*(100%-IF(ISNUMBER(KENKO[[#This Row],[DISC 1 (%)]]),KENKO[[#This Row],[DISC 1 (%)]],0)))</f>
        <v>2569680</v>
      </c>
      <c r="R1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Row],[//]]="","",INDEX([6]!NOTA[NAMA BARANG],KENKO[[#This Row],[//]]-2))</f>
        <v>KENKO 18 COLOR OIL PASTEL- GARDEN</v>
      </c>
      <c r="V105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05" s="4" t="s">
        <v>137</v>
      </c>
      <c r="X105" s="4" t="str">
        <f ca="1">IF(KENKO[[#This Row],[N.B.nota]]="","",ADDRESS(ROW(KENKO[QB]),COLUMN(KENKO[QB]))&amp;":"&amp;ADDRESS(ROW(),COLUMN(KENKO[QB])))</f>
        <v>$D$3:$D$105</v>
      </c>
      <c r="Y105" s="22" t="str">
        <f ca="1">IF(KENKO[[#This Row],[//]]="","",HYPERLINK("[..\\DB.xlsx]DB!e"&amp;MATCH(KENKO[[#This Row],[concat]],[4]!db[NB NOTA_C],0)+1,"&gt;"))</f>
        <v>&gt;</v>
      </c>
    </row>
    <row r="106" spans="1:25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NOTA]]="","",HYPERLINK("[NOTA_.xlsx]NOTA!e"&amp;INDEX([6]!PAJAK[//],MATCH(KENKO[[#This Row],[ID NOTA]],[6]!PAJAK[ID],0)),"&gt;")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491</v>
      </c>
      <c r="F106" s="6" t="str">
        <f>IF(KENKO[[#This Row],[NO. NOTA]]="","",INDEX([5]KE!$A:$A,MATCH(KENKO[[#This Row],[NO. NOTA]],[5]KE!$D:$D,0)))</f>
        <v/>
      </c>
      <c r="G106" s="3" t="str">
        <f>IF(KENKO[[#This Row],[ID NOTA]]="","",INDEX([6]!NOTA[TGL_H],MATCH(KENKO[[#This Row],[ID NOTA]],[6]!NOTA[ID],0)))</f>
        <v/>
      </c>
      <c r="H106" s="3" t="str">
        <f>IF(KENKO[[#This Row],[ID NOTA]]="","",INDEX([6]!NOTA[TGL.NOTA],MATCH(KENKO[[#This Row],[ID NOTA]],[6]!NOTA[ID],0)))</f>
        <v/>
      </c>
      <c r="I106" s="19" t="str">
        <f>IF(KENKO[[#This Row],[ID NOTA]]="","",INDEX([6]!NOTA[NO.NOTA],MATCH(KENKO[[#This Row],[ID NOTA]],[6]!NOTA[ID],0)))</f>
        <v/>
      </c>
      <c r="J106" s="4" t="s">
        <v>218</v>
      </c>
      <c r="K106" s="6" t="str">
        <f>""</f>
        <v/>
      </c>
      <c r="L106" s="6">
        <f ca="1">IF(KENKO[//]="","",IF(INDEX([6]!NOTA[QTY],KENKO[//]-2)="",INDEX([6]!NOTA[C],KENKO[//]-2),INDEX([6]!NOTA[QTY],KENKO[//]-2)))</f>
        <v>1</v>
      </c>
      <c r="M106" s="6" t="str">
        <f ca="1">IF(KENKO[//]="","",IF(INDEX([6]!NOTA[STN],KENKO[//]-2)="","CTN",INDEX([6]!NOTA[STN],KENKO[//]-2)))</f>
        <v>CTN</v>
      </c>
      <c r="N106" s="5">
        <f ca="1">IF(KENKO[[#This Row],[//]]="","",IF(INDEX([6]!NOTA[HARGA/ CTN],KENKO[[#This Row],[//]]-2)="",INDEX([6]!NOTA[HARGA SATUAN],KENKO[//]-2),INDEX([6]!NOTA[HARGA/ CTN],KENKO[[#This Row],[//]]-2)))</f>
        <v>6739200</v>
      </c>
      <c r="O106" s="8">
        <f ca="1">IF(KENKO[[#This Row],[//]]="","",INDEX([6]!NOTA[DISC 1],KENKO[[#This Row],[//]]-2))</f>
        <v>0.17</v>
      </c>
      <c r="P106" s="8">
        <f ca="1">IF(KENKO[[#This Row],[//]]="","",INDEX([6]!NOTA[DISC 2],KENKO[[#This Row],[//]]-2))</f>
        <v>0</v>
      </c>
      <c r="Q106" s="5">
        <f ca="1">IF(KENKO[[#This Row],[//]]="","",INDEX([6]!NOTA[JUMLAH],KENKO[[#This Row],[//]]-2)*(100%-IF(ISNUMBER(KENKO[[#This Row],[DISC 1 (%)]]),KENKO[[#This Row],[DISC 1 (%)]],0)))</f>
        <v>5593536</v>
      </c>
      <c r="R1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Row],[//]]="","",INDEX([6]!NOTA[NAMA BARANG],KENKO[[#This Row],[//]]-2))</f>
        <v>KENKO MECHANICAL PENCIL MP-01 (0.5MM)</v>
      </c>
      <c r="V106" s="4" t="str">
        <f ca="1">LOWER(SUBSTITUTE(SUBSTITUTE(SUBSTITUTE(SUBSTITUTE(SUBSTITUTE(SUBSTITUTE(SUBSTITUTE(SUBSTITUTE(KENKO[[#This Row],[N.B.nota]]," ",""),"-",""),"(",""),")",""),".",""),",",""),"/",""),"""",""))</f>
        <v>kenkomechanicalpencilmp0105mm</v>
      </c>
      <c r="W106" s="4" t="s">
        <v>137</v>
      </c>
      <c r="X106" s="4" t="str">
        <f ca="1">IF(KENKO[[#This Row],[N.B.nota]]="","",ADDRESS(ROW(KENKO[QB]),COLUMN(KENKO[QB]))&amp;":"&amp;ADDRESS(ROW(),COLUMN(KENKO[QB])))</f>
        <v>$D$3:$D$106</v>
      </c>
      <c r="Y106" s="22" t="str">
        <f ca="1">IF(KENKO[[#This Row],[//]]="","",HYPERLINK("[..\\DB.xlsx]DB!e"&amp;MATCH(KENKO[[#This Row],[concat]],[4]!db[NB NOTA_C],0)+1,"&gt;"))</f>
        <v>&gt;</v>
      </c>
    </row>
    <row r="107" spans="1:25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NOTA]]="","",HYPERLINK("[NOTA_.xlsx]NOTA!e"&amp;INDEX([6]!PAJAK[//],MATCH(KENKO[[#This Row],[ID NOTA]],[6]!PAJAK[ID],0)),"&gt;")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492</v>
      </c>
      <c r="F107" s="6" t="str">
        <f>IF(KENKO[[#This Row],[NO. NOTA]]="","",INDEX([5]KE!$A:$A,MATCH(KENKO[[#This Row],[NO. NOTA]],[5]KE!$D:$D,0)))</f>
        <v/>
      </c>
      <c r="G107" s="3" t="str">
        <f>IF(KENKO[[#This Row],[ID NOTA]]="","",INDEX([6]!NOTA[TGL_H],MATCH(KENKO[[#This Row],[ID NOTA]],[6]!NOTA[ID],0)))</f>
        <v/>
      </c>
      <c r="H107" s="3" t="str">
        <f>IF(KENKO[[#This Row],[ID NOTA]]="","",INDEX([6]!NOTA[TGL.NOTA],MATCH(KENKO[[#This Row],[ID NOTA]],[6]!NOTA[ID],0)))</f>
        <v/>
      </c>
      <c r="I107" s="19" t="str">
        <f>IF(KENKO[[#This Row],[ID NOTA]]="","",INDEX([6]!NOTA[NO.NOTA],MATCH(KENKO[[#This Row],[ID NOTA]],[6]!NOTA[ID],0)))</f>
        <v/>
      </c>
      <c r="J107" s="4" t="s">
        <v>219</v>
      </c>
      <c r="K107" s="6" t="str">
        <f>""</f>
        <v/>
      </c>
      <c r="L107" s="6">
        <f ca="1">IF(KENKO[//]="","",IF(INDEX([6]!NOTA[QTY],KENKO[//]-2)="",INDEX([6]!NOTA[C],KENKO[//]-2),INDEX([6]!NOTA[QTY],KENKO[//]-2)))</f>
        <v>3</v>
      </c>
      <c r="M107" s="6" t="str">
        <f ca="1">IF(KENKO[//]="","",IF(INDEX([6]!NOTA[STN],KENKO[//]-2)="","CTN",INDEX([6]!NOTA[STN],KENKO[//]-2)))</f>
        <v>CTN</v>
      </c>
      <c r="N107" s="5">
        <f ca="1">IF(KENKO[[#This Row],[//]]="","",IF(INDEX([6]!NOTA[HARGA/ CTN],KENKO[[#This Row],[//]]-2)="",INDEX([6]!NOTA[HARGA SATUAN],KENKO[//]-2),INDEX([6]!NOTA[HARGA/ CTN],KENKO[[#This Row],[//]]-2)))</f>
        <v>1710000</v>
      </c>
      <c r="O107" s="8">
        <f ca="1">IF(KENKO[[#This Row],[//]]="","",INDEX([6]!NOTA[DISC 1],KENKO[[#This Row],[//]]-2))</f>
        <v>0.17</v>
      </c>
      <c r="P107" s="8">
        <f ca="1">IF(KENKO[[#This Row],[//]]="","",INDEX([6]!NOTA[DISC 2],KENKO[[#This Row],[//]]-2))</f>
        <v>0</v>
      </c>
      <c r="Q107" s="5">
        <f ca="1">IF(KENKO[[#This Row],[//]]="","",INDEX([6]!NOTA[JUMLAH],KENKO[[#This Row],[//]]-2)*(100%-IF(ISNUMBER(KENKO[[#This Row],[DISC 1 (%)]]),KENKO[[#This Row],[DISC 1 (%)]],0)))</f>
        <v>4257900</v>
      </c>
      <c r="R10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7742684</v>
      </c>
      <c r="S10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37802516</v>
      </c>
      <c r="T10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Row],[//]]="","",INDEX([6]!NOTA[NAMA BARANG],KENKO[[#This Row],[//]]-2))</f>
        <v>KENKO CUTTER A-300 (9MM BLADE)</v>
      </c>
      <c r="V107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07" s="4" t="s">
        <v>137</v>
      </c>
      <c r="X107" s="4" t="str">
        <f ca="1">IF(KENKO[[#This Row],[N.B.nota]]="","",ADDRESS(ROW(KENKO[QB]),COLUMN(KENKO[QB]))&amp;":"&amp;ADDRESS(ROW(),COLUMN(KENKO[QB])))</f>
        <v>$D$3:$D$107</v>
      </c>
      <c r="Y107" s="22" t="str">
        <f ca="1">IF(KENKO[[#This Row],[//]]="","",HYPERLINK("[..\\DB.xlsx]DB!e"&amp;MATCH(KENKO[[#This Row],[concat]],[4]!db[NB NOTA_C],0)+1,"&gt;"))</f>
        <v>&gt;</v>
      </c>
    </row>
    <row r="108" spans="1:25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NOTA]]="","",HYPERLINK("[NOTA_.xlsx]NOTA!e"&amp;INDEX([6]!PAJAK[//],MATCH(KENKO[[#This Row],[ID NOTA]],[6]!PAJAK[ID],0)),"&gt;") )</f>
        <v/>
      </c>
      <c r="D108" s="6" t="str">
        <f>IF(KENKO[[#This Row],[ID NOTA]]="","",INDEX(Table1[QB],MATCH(KENKO[[#This Row],[ID NOTA]],Table1[ID],0)))</f>
        <v/>
      </c>
      <c r="E10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8" s="6" t="str">
        <f>IF(KENKO[[#This Row],[NO. NOTA]]="","",INDEX([5]KE!$A:$A,MATCH(KENKO[[#This Row],[NO. NOTA]],[5]KE!$D:$D,0)))</f>
        <v/>
      </c>
      <c r="G108" s="3" t="str">
        <f>IF(KENKO[[#This Row],[ID NOTA]]="","",INDEX([6]!NOTA[TGL_H],MATCH(KENKO[[#This Row],[ID NOTA]],[6]!NOTA[ID],0)))</f>
        <v/>
      </c>
      <c r="H108" s="3" t="str">
        <f>IF(KENKO[[#This Row],[ID NOTA]]="","",INDEX([6]!NOTA[TGL.NOTA],MATCH(KENKO[[#This Row],[ID NOTA]],[6]!NOTA[ID],0)))</f>
        <v/>
      </c>
      <c r="I108" s="19" t="str">
        <f>IF(KENKO[[#This Row],[ID NOTA]]="","",INDEX([6]!NOTA[NO.NOTA],MATCH(KENKO[[#This Row],[ID NOTA]],[6]!NOTA[ID],0)))</f>
        <v/>
      </c>
      <c r="J108" s="4" t="s">
        <v>136</v>
      </c>
      <c r="K108" s="6" t="str">
        <f>""</f>
        <v/>
      </c>
      <c r="L108" s="6" t="str">
        <f ca="1">IF(KENKO[//]="","",IF(INDEX([6]!NOTA[QTY],KENKO[//]-2)="",INDEX([6]!NOTA[C],KENKO[//]-2),INDEX([6]!NOTA[QTY],KENKO[//]-2)))</f>
        <v/>
      </c>
      <c r="M108" s="6" t="str">
        <f ca="1">IF(KENKO[//]="","",IF(INDEX([6]!NOTA[STN],KENKO[//]-2)="","CTN",INDEX([6]!NOTA[STN],KENKO[//]-2)))</f>
        <v/>
      </c>
      <c r="N108" s="5" t="str">
        <f ca="1">IF(KENKO[[#This Row],[//]]="","",IF(INDEX([6]!NOTA[HARGA/ CTN],KENKO[[#This Row],[//]]-2)="",INDEX([6]!NOTA[HARGA SATUAN],KENKO[//]-2),INDEX([6]!NOTA[HARGA/ CTN],KENKO[[#This Row],[//]]-2)))</f>
        <v/>
      </c>
      <c r="O108" s="8" t="str">
        <f ca="1">IF(KENKO[[#This Row],[//]]="","",INDEX([6]!NOTA[DISC 1],KENKO[[#This Row],[//]]-2))</f>
        <v/>
      </c>
      <c r="P108" s="8" t="str">
        <f ca="1">IF(KENKO[[#This Row],[//]]="","",INDEX([6]!NOTA[DISC 2],KENKO[[#This Row],[//]]-2))</f>
        <v/>
      </c>
      <c r="Q108" s="5" t="str">
        <f ca="1">IF(KENKO[[#This Row],[//]]="","",INDEX([6]!NOTA[JUMLAH],KENKO[[#This Row],[//]]-2)*(100%-IF(ISNUMBER(KENKO[[#This Row],[DISC 1 (%)]]),KENKO[[#This Row],[DISC 1 (%)]],0)))</f>
        <v/>
      </c>
      <c r="R1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Row],[//]]="","",INDEX([6]!NOTA[NAMA BARANG],KENKO[[#This Row],[//]]-2))</f>
        <v/>
      </c>
      <c r="V108" s="4" t="str">
        <f ca="1">LOWER(SUBSTITUTE(SUBSTITUTE(SUBSTITUTE(SUBSTITUTE(SUBSTITUTE(SUBSTITUTE(SUBSTITUTE(SUBSTITUTE(KENKO[[#This Row],[N.B.nota]]," ",""),"-",""),"(",""),")",""),".",""),",",""),"/",""),"""",""))</f>
        <v/>
      </c>
      <c r="W108" s="4" t="s">
        <v>136</v>
      </c>
      <c r="X108" s="4" t="str">
        <f ca="1">IF(KENKO[[#This Row],[N.B.nota]]="","",ADDRESS(ROW(KENKO[QB]),COLUMN(KENKO[QB]))&amp;":"&amp;ADDRESS(ROW(),COLUMN(KENKO[QB])))</f>
        <v/>
      </c>
      <c r="Y108" s="22" t="str">
        <f ca="1">IF(KENKO[[#This Row],[//]]="","",HYPERLINK("[..\\DB.xlsx]DB!e"&amp;MATCH(KENKO[[#This Row],[concat]],[4]!db[NB NOTA_C],0)+1,"&gt;"))</f>
        <v/>
      </c>
    </row>
    <row r="109" spans="1:25" x14ac:dyDescent="0.25">
      <c r="A109" s="4" t="s">
        <v>72</v>
      </c>
      <c r="B109" s="6">
        <f ca="1">IF(KENKO[[#This Row],[N_ID]]="","",INDEX(Table1[ID],MATCH(KENKO[[#This Row],[N_ID]],Table1[N_ID],0)))</f>
        <v>97</v>
      </c>
      <c r="C109" s="6" t="str">
        <f ca="1">IF(KENKO[[#This Row],[ID NOTA]]="","",HYPERLINK("[NOTA_.xlsx]NOTA!e"&amp;INDEX([6]!PAJAK[//],MATCH(KENKO[[#This Row],[ID NOTA]],[6]!PAJAK[ID],0)),"&gt;") )</f>
        <v>&gt;</v>
      </c>
      <c r="D109" s="6">
        <f ca="1">IF(KENKO[[#This Row],[ID NOTA]]="","",INDEX(Table1[QB],MATCH(KENKO[[#This Row],[ID NOTA]],Table1[ID],0)))</f>
        <v>5</v>
      </c>
      <c r="E10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494</v>
      </c>
      <c r="F109" s="6" t="e">
        <f ca="1">IF(KENKO[[#This Row],[NO. NOTA]]="","",INDEX([5]KE!$A:$A,MATCH(KENKO[[#This Row],[NO. NOTA]],[5]KE!$D:$D,0)))</f>
        <v>#N/A</v>
      </c>
      <c r="G109" s="3">
        <f ca="1">IF(KENKO[[#This Row],[ID NOTA]]="","",INDEX([6]!NOTA[TGL_H],MATCH(KENKO[[#This Row],[ID NOTA]],[6]!NOTA[ID],0)))</f>
        <v>44760</v>
      </c>
      <c r="H109" s="3">
        <f ca="1">IF(KENKO[[#This Row],[ID NOTA]]="","",INDEX([6]!NOTA[TGL.NOTA],MATCH(KENKO[[#This Row],[ID NOTA]],[6]!NOTA[ID],0)))</f>
        <v>44755</v>
      </c>
      <c r="I109" s="19" t="str">
        <f ca="1">IF(KENKO[[#This Row],[ID NOTA]]="","",INDEX([6]!NOTA[NO.NOTA],MATCH(KENKO[[#This Row],[ID NOTA]],[6]!NOTA[ID],0)))</f>
        <v>22071063</v>
      </c>
      <c r="J109" s="4" t="s">
        <v>182</v>
      </c>
      <c r="K109" s="6" t="str">
        <f>""</f>
        <v/>
      </c>
      <c r="L109" s="6">
        <f ca="1">IF(KENKO[//]="","",IF(INDEX([6]!NOTA[QTY],KENKO[//]-2)="",INDEX([6]!NOTA[C],KENKO[//]-2),INDEX([6]!NOTA[QTY],KENKO[//]-2)))</f>
        <v>1</v>
      </c>
      <c r="M109" s="6" t="str">
        <f ca="1">IF(KENKO[//]="","",IF(INDEX([6]!NOTA[STN],KENKO[//]-2)="","CTN",INDEX([6]!NOTA[STN],KENKO[//]-2)))</f>
        <v>CTN</v>
      </c>
      <c r="N109" s="5">
        <f ca="1">IF(KENKO[[#This Row],[//]]="","",IF(INDEX([6]!NOTA[HARGA/ CTN],KENKO[[#This Row],[//]]-2)="",INDEX([6]!NOTA[HARGA SATUAN],KENKO[//]-2),INDEX([6]!NOTA[HARGA/ CTN],KENKO[[#This Row],[//]]-2)))</f>
        <v>708000</v>
      </c>
      <c r="O109" s="8">
        <f ca="1">IF(KENKO[[#This Row],[//]]="","",INDEX([6]!NOTA[DISC 1],KENKO[[#This Row],[//]]-2))</f>
        <v>0.17</v>
      </c>
      <c r="P109" s="8">
        <f ca="1">IF(KENKO[[#This Row],[//]]="","",INDEX([6]!NOTA[DISC 2],KENKO[[#This Row],[//]]-2))</f>
        <v>0</v>
      </c>
      <c r="Q109" s="5">
        <f ca="1">IF(KENKO[[#This Row],[//]]="","",INDEX([6]!NOTA[JUMLAH],KENKO[[#This Row],[//]]-2)*(100%-IF(ISNUMBER(KENKO[[#This Row],[DISC 1 (%)]]),KENKO[[#This Row],[DISC 1 (%)]],0)))</f>
        <v>587640</v>
      </c>
      <c r="R1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Row],[//]]="","",INDEX([6]!NOTA[NAMA BARANG],KENKO[[#This Row],[//]]-2))</f>
        <v>KENKO BUKU TAMU BT-2920-BTK02 (BATIK)</v>
      </c>
      <c r="V109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09" s="4" t="s">
        <v>137</v>
      </c>
      <c r="X109" s="4" t="str">
        <f ca="1">IF(KENKO[[#This Row],[N.B.nota]]="","",ADDRESS(ROW(KENKO[QB]),COLUMN(KENKO[QB]))&amp;":"&amp;ADDRESS(ROW(),COLUMN(KENKO[QB])))</f>
        <v>$D$3:$D$109</v>
      </c>
      <c r="Y109" s="22" t="str">
        <f ca="1">IF(KENKO[[#This Row],[//]]="","",HYPERLINK("[..\\DB.xlsx]DB!e"&amp;MATCH(KENKO[[#This Row],[concat]],[4]!db[NB NOTA_C],0)+1,"&gt;"))</f>
        <v>&gt;</v>
      </c>
    </row>
    <row r="110" spans="1:25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NOTA]]="","",HYPERLINK("[NOTA_.xlsx]NOTA!e"&amp;INDEX([6]!PAJAK[//],MATCH(KENKO[[#This Row],[ID NOTA]],[6]!PAJAK[ID],0)),"&gt;")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495</v>
      </c>
      <c r="F110" s="6" t="str">
        <f>IF(KENKO[[#This Row],[NO. NOTA]]="","",INDEX([5]KE!$A:$A,MATCH(KENKO[[#This Row],[NO. NOTA]],[5]KE!$D:$D,0)))</f>
        <v/>
      </c>
      <c r="G110" s="3" t="str">
        <f>IF(KENKO[[#This Row],[ID NOTA]]="","",INDEX([6]!NOTA[TGL_H],MATCH(KENKO[[#This Row],[ID NOTA]],[6]!NOTA[ID],0)))</f>
        <v/>
      </c>
      <c r="H110" s="3" t="str">
        <f>IF(KENKO[[#This Row],[ID NOTA]]="","",INDEX([6]!NOTA[TGL.NOTA],MATCH(KENKO[[#This Row],[ID NOTA]],[6]!NOTA[ID],0)))</f>
        <v/>
      </c>
      <c r="I110" s="19" t="str">
        <f>IF(KENKO[[#This Row],[ID NOTA]]="","",INDEX([6]!NOTA[NO.NOTA],MATCH(KENKO[[#This Row],[ID NOTA]],[6]!NOTA[ID],0)))</f>
        <v/>
      </c>
      <c r="J110" s="4" t="s">
        <v>183</v>
      </c>
      <c r="K110" s="6" t="str">
        <f>""</f>
        <v/>
      </c>
      <c r="L110" s="6">
        <f ca="1">IF(KENKO[//]="","",IF(INDEX([6]!NOTA[QTY],KENKO[//]-2)="",INDEX([6]!NOTA[C],KENKO[//]-2),INDEX([6]!NOTA[QTY],KENKO[//]-2)))</f>
        <v>3</v>
      </c>
      <c r="M110" s="6" t="str">
        <f ca="1">IF(KENKO[//]="","",IF(INDEX([6]!NOTA[STN],KENKO[//]-2)="","CTN",INDEX([6]!NOTA[STN],KENKO[//]-2)))</f>
        <v>CTN</v>
      </c>
      <c r="N110" s="5">
        <f ca="1">IF(KENKO[[#This Row],[//]]="","",IF(INDEX([6]!NOTA[HARGA/ CTN],KENKO[[#This Row],[//]]-2)="",INDEX([6]!NOTA[HARGA SATUAN],KENKO[//]-2),INDEX([6]!NOTA[HARGA/ CTN],KENKO[[#This Row],[//]]-2)))</f>
        <v>1641600</v>
      </c>
      <c r="O110" s="8">
        <f ca="1">IF(KENKO[[#This Row],[//]]="","",INDEX([6]!NOTA[DISC 1],KENKO[[#This Row],[//]]-2))</f>
        <v>0.17</v>
      </c>
      <c r="P110" s="8">
        <f ca="1">IF(KENKO[[#This Row],[//]]="","",INDEX([6]!NOTA[DISC 2],KENKO[[#This Row],[//]]-2))</f>
        <v>0</v>
      </c>
      <c r="Q110" s="5">
        <f ca="1">IF(KENKO[[#This Row],[//]]="","",INDEX([6]!NOTA[JUMLAH],KENKO[[#This Row],[//]]-2)*(100%-IF(ISNUMBER(KENKO[[#This Row],[DISC 1 (%)]]),KENKO[[#This Row],[DISC 1 (%)]],0)))</f>
        <v>4087584</v>
      </c>
      <c r="R1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Row],[//]]="","",INDEX([6]!NOTA[NAMA BARANG],KENKO[[#This Row],[//]]-2))</f>
        <v>KENKO CORRECTION FLUID KE-108</v>
      </c>
      <c r="V110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0" s="4" t="s">
        <v>137</v>
      </c>
      <c r="X110" s="4" t="str">
        <f ca="1">IF(KENKO[[#This Row],[N.B.nota]]="","",ADDRESS(ROW(KENKO[QB]),COLUMN(KENKO[QB]))&amp;":"&amp;ADDRESS(ROW(),COLUMN(KENKO[QB])))</f>
        <v>$D$3:$D$110</v>
      </c>
      <c r="Y110" s="22" t="str">
        <f ca="1">IF(KENKO[[#This Row],[//]]="","",HYPERLINK("[..\\DB.xlsx]DB!e"&amp;MATCH(KENKO[[#This Row],[concat]],[4]!db[NB NOTA_C],0)+1,"&gt;"))</f>
        <v>&gt;</v>
      </c>
    </row>
    <row r="111" spans="1:25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NOTA]]="","",HYPERLINK("[NOTA_.xlsx]NOTA!e"&amp;INDEX([6]!PAJAK[//],MATCH(KENKO[[#This Row],[ID NOTA]],[6]!PAJAK[ID],0)),"&gt;")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496</v>
      </c>
      <c r="F111" s="6" t="str">
        <f>IF(KENKO[[#This Row],[NO. NOTA]]="","",INDEX([5]KE!$A:$A,MATCH(KENKO[[#This Row],[NO. NOTA]],[5]KE!$D:$D,0)))</f>
        <v/>
      </c>
      <c r="G111" s="3" t="str">
        <f>IF(KENKO[[#This Row],[ID NOTA]]="","",INDEX([6]!NOTA[TGL_H],MATCH(KENKO[[#This Row],[ID NOTA]],[6]!NOTA[ID],0)))</f>
        <v/>
      </c>
      <c r="H111" s="3" t="str">
        <f>IF(KENKO[[#This Row],[ID NOTA]]="","",INDEX([6]!NOTA[TGL.NOTA],MATCH(KENKO[[#This Row],[ID NOTA]],[6]!NOTA[ID],0)))</f>
        <v/>
      </c>
      <c r="I111" s="19" t="str">
        <f>IF(KENKO[[#This Row],[ID NOTA]]="","",INDEX([6]!NOTA[NO.NOTA],MATCH(KENKO[[#This Row],[ID NOTA]],[6]!NOTA[ID],0)))</f>
        <v/>
      </c>
      <c r="J111" s="4" t="s">
        <v>220</v>
      </c>
      <c r="K111" s="6" t="str">
        <f>""</f>
        <v/>
      </c>
      <c r="L111" s="6">
        <f ca="1">IF(KENKO[//]="","",IF(INDEX([6]!NOTA[QTY],KENKO[//]-2)="",INDEX([6]!NOTA[C],KENKO[//]-2),INDEX([6]!NOTA[QTY],KENKO[//]-2)))</f>
        <v>3</v>
      </c>
      <c r="M111" s="6" t="str">
        <f ca="1">IF(KENKO[//]="","",IF(INDEX([6]!NOTA[STN],KENKO[//]-2)="","CTN",INDEX([6]!NOTA[STN],KENKO[//]-2)))</f>
        <v>CTN</v>
      </c>
      <c r="N111" s="5">
        <f ca="1">IF(KENKO[[#This Row],[//]]="","",IF(INDEX([6]!NOTA[HARGA/ CTN],KENKO[[#This Row],[//]]-2)="",INDEX([6]!NOTA[HARGA SATUAN],KENKO[//]-2),INDEX([6]!NOTA[HARGA/ CTN],KENKO[[#This Row],[//]]-2)))</f>
        <v>2116800</v>
      </c>
      <c r="O111" s="8">
        <f ca="1">IF(KENKO[[#This Row],[//]]="","",INDEX([6]!NOTA[DISC 1],KENKO[[#This Row],[//]]-2))</f>
        <v>0.17</v>
      </c>
      <c r="P111" s="8">
        <f ca="1">IF(KENKO[[#This Row],[//]]="","",INDEX([6]!NOTA[DISC 2],KENKO[[#This Row],[//]]-2))</f>
        <v>0</v>
      </c>
      <c r="Q111" s="5">
        <f ca="1">IF(KENKO[[#This Row],[//]]="","",INDEX([6]!NOTA[JUMLAH],KENKO[[#This Row],[//]]-2)*(100%-IF(ISNUMBER(KENKO[[#This Row],[DISC 1 (%)]]),KENKO[[#This Row],[DISC 1 (%)]],0)))</f>
        <v>5270832</v>
      </c>
      <c r="R1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Row],[//]]="","",INDEX([6]!NOTA[NAMA BARANG],KENKO[[#This Row],[//]]-2))</f>
        <v>KENKO CORRECTION FLUID KE-826M</v>
      </c>
      <c r="V111" s="4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1" s="4" t="s">
        <v>137</v>
      </c>
      <c r="X111" s="4" t="str">
        <f ca="1">IF(KENKO[[#This Row],[N.B.nota]]="","",ADDRESS(ROW(KENKO[QB]),COLUMN(KENKO[QB]))&amp;":"&amp;ADDRESS(ROW(),COLUMN(KENKO[QB])))</f>
        <v>$D$3:$D$111</v>
      </c>
      <c r="Y111" s="22" t="str">
        <f ca="1">IF(KENKO[[#This Row],[//]]="","",HYPERLINK("[..\\DB.xlsx]DB!e"&amp;MATCH(KENKO[[#This Row],[concat]],[4]!db[NB NOTA_C],0)+1,"&gt;"))</f>
        <v>&gt;</v>
      </c>
    </row>
    <row r="112" spans="1:25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NOTA]]="","",HYPERLINK("[NOTA_.xlsx]NOTA!e"&amp;INDEX([6]!PAJAK[//],MATCH(KENKO[[#This Row],[ID NOTA]],[6]!PAJAK[ID],0)),"&gt;")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497</v>
      </c>
      <c r="F112" s="6" t="str">
        <f>IF(KENKO[[#This Row],[NO. NOTA]]="","",INDEX([5]KE!$A:$A,MATCH(KENKO[[#This Row],[NO. NOTA]],[5]KE!$D:$D,0)))</f>
        <v/>
      </c>
      <c r="G112" s="3" t="str">
        <f>IF(KENKO[[#This Row],[ID NOTA]]="","",INDEX([6]!NOTA[TGL_H],MATCH(KENKO[[#This Row],[ID NOTA]],[6]!NOTA[ID],0)))</f>
        <v/>
      </c>
      <c r="H112" s="3" t="str">
        <f>IF(KENKO[[#This Row],[ID NOTA]]="","",INDEX([6]!NOTA[TGL.NOTA],MATCH(KENKO[[#This Row],[ID NOTA]],[6]!NOTA[ID],0)))</f>
        <v/>
      </c>
      <c r="I112" s="19" t="str">
        <f>IF(KENKO[[#This Row],[ID NOTA]]="","",INDEX([6]!NOTA[NO.NOTA],MATCH(KENKO[[#This Row],[ID NOTA]],[6]!NOTA[ID],0)))</f>
        <v/>
      </c>
      <c r="J112" s="4" t="s">
        <v>206</v>
      </c>
      <c r="K112" s="6" t="str">
        <f>""</f>
        <v/>
      </c>
      <c r="L112" s="6">
        <f ca="1">IF(KENKO[//]="","",IF(INDEX([6]!NOTA[QTY],KENKO[//]-2)="",INDEX([6]!NOTA[C],KENKO[//]-2),INDEX([6]!NOTA[QTY],KENKO[//]-2)))</f>
        <v>1</v>
      </c>
      <c r="M112" s="6" t="str">
        <f ca="1">IF(KENKO[//]="","",IF(INDEX([6]!NOTA[STN],KENKO[//]-2)="","CTN",INDEX([6]!NOTA[STN],KENKO[//]-2)))</f>
        <v>CTN</v>
      </c>
      <c r="N112" s="5">
        <f ca="1">IF(KENKO[[#This Row],[//]]="","",IF(INDEX([6]!NOTA[HARGA/ CTN],KENKO[[#This Row],[//]]-2)="",INDEX([6]!NOTA[HARGA SATUAN],KENKO[//]-2),INDEX([6]!NOTA[HARGA/ CTN],KENKO[[#This Row],[//]]-2)))</f>
        <v>1954800</v>
      </c>
      <c r="O112" s="8">
        <f ca="1">IF(KENKO[[#This Row],[//]]="","",INDEX([6]!NOTA[DISC 1],KENKO[[#This Row],[//]]-2))</f>
        <v>0.17</v>
      </c>
      <c r="P112" s="8">
        <f ca="1">IF(KENKO[[#This Row],[//]]="","",INDEX([6]!NOTA[DISC 2],KENKO[[#This Row],[//]]-2))</f>
        <v>0</v>
      </c>
      <c r="Q112" s="5">
        <f ca="1">IF(KENKO[[#This Row],[//]]="","",INDEX([6]!NOTA[JUMLAH],KENKO[[#This Row],[//]]-2)*(100%-IF(ISNUMBER(KENKO[[#This Row],[DISC 1 (%)]]),KENKO[[#This Row],[DISC 1 (%)]],0)))</f>
        <v>1622484</v>
      </c>
      <c r="R1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Row],[//]]="","",INDEX([6]!NOTA[NAMA BARANG],KENKO[[#This Row],[//]]-2))</f>
        <v>KENKO CORRECTION FLUID KE-107M</v>
      </c>
      <c r="V112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112" s="4" t="s">
        <v>137</v>
      </c>
      <c r="X112" s="4" t="str">
        <f ca="1">IF(KENKO[[#This Row],[N.B.nota]]="","",ADDRESS(ROW(KENKO[QB]),COLUMN(KENKO[QB]))&amp;":"&amp;ADDRESS(ROW(),COLUMN(KENKO[QB])))</f>
        <v>$D$3:$D$112</v>
      </c>
      <c r="Y112" s="22" t="str">
        <f ca="1">IF(KENKO[[#This Row],[//]]="","",HYPERLINK("[..\\DB.xlsx]DB!e"&amp;MATCH(KENKO[[#This Row],[concat]],[4]!db[NB NOTA_C],0)+1,"&gt;"))</f>
        <v>&gt;</v>
      </c>
    </row>
    <row r="113" spans="1:25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NOTA]]="","",HYPERLINK("[NOTA_.xlsx]NOTA!e"&amp;INDEX([6]!PAJAK[//],MATCH(KENKO[[#This Row],[ID NOTA]],[6]!PAJAK[ID],0)),"&gt;") )</f>
        <v/>
      </c>
      <c r="D113" s="6" t="str">
        <f>IF(KENKO[[#This Row],[ID NOTA]]="","",INDEX(Table1[QB],MATCH(KENKO[[#This Row],[ID NOTA]],Table1[ID],0)))</f>
        <v/>
      </c>
      <c r="E11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498</v>
      </c>
      <c r="F113" s="6" t="str">
        <f>IF(KENKO[[#This Row],[NO. NOTA]]="","",INDEX([5]KE!$A:$A,MATCH(KENKO[[#This Row],[NO. NOTA]],[5]KE!$D:$D,0)))</f>
        <v/>
      </c>
      <c r="G113" s="3" t="str">
        <f>IF(KENKO[[#This Row],[ID NOTA]]="","",INDEX([6]!NOTA[TGL_H],MATCH(KENKO[[#This Row],[ID NOTA]],[6]!NOTA[ID],0)))</f>
        <v/>
      </c>
      <c r="H113" s="3" t="str">
        <f>IF(KENKO[[#This Row],[ID NOTA]]="","",INDEX([6]!NOTA[TGL.NOTA],MATCH(KENKO[[#This Row],[ID NOTA]],[6]!NOTA[ID],0)))</f>
        <v/>
      </c>
      <c r="I113" s="19" t="str">
        <f>IF(KENKO[[#This Row],[ID NOTA]]="","",INDEX([6]!NOTA[NO.NOTA],MATCH(KENKO[[#This Row],[ID NOTA]],[6]!NOTA[ID],0)))</f>
        <v/>
      </c>
      <c r="J113" s="4" t="s">
        <v>206</v>
      </c>
      <c r="K113" s="6" t="str">
        <f>""</f>
        <v/>
      </c>
      <c r="L113" s="6">
        <f ca="1">IF(KENKO[//]="","",IF(INDEX([6]!NOTA[QTY],KENKO[//]-2)="",INDEX([6]!NOTA[C],KENKO[//]-2),INDEX([6]!NOTA[QTY],KENKO[//]-2)))</f>
        <v>2</v>
      </c>
      <c r="M113" s="6" t="str">
        <f ca="1">IF(KENKO[//]="","",IF(INDEX([6]!NOTA[STN],KENKO[//]-2)="","CTN",INDEX([6]!NOTA[STN],KENKO[//]-2)))</f>
        <v>CTN</v>
      </c>
      <c r="N113" s="5">
        <f ca="1">IF(KENKO[[#This Row],[//]]="","",IF(INDEX([6]!NOTA[HARGA/ CTN],KENKO[[#This Row],[//]]-2)="",INDEX([6]!NOTA[HARGA SATUAN],KENKO[//]-2),INDEX([6]!NOTA[HARGA/ CTN],KENKO[[#This Row],[//]]-2)))</f>
        <v>1954800</v>
      </c>
      <c r="O113" s="8">
        <f ca="1">IF(KENKO[[#This Row],[//]]="","",INDEX([6]!NOTA[DISC 1],KENKO[[#This Row],[//]]-2))</f>
        <v>0.17</v>
      </c>
      <c r="P113" s="8">
        <f ca="1">IF(KENKO[[#This Row],[//]]="","",INDEX([6]!NOTA[DISC 2],KENKO[[#This Row],[//]]-2))</f>
        <v>0</v>
      </c>
      <c r="Q113" s="5">
        <f ca="1">IF(KENKO[[#This Row],[//]]="","",INDEX([6]!NOTA[JUMLAH],KENKO[[#This Row],[//]]-2)*(100%-IF(ISNUMBER(KENKO[[#This Row],[DISC 1 (%)]]),KENKO[[#This Row],[DISC 1 (%)]],0)))</f>
        <v>3244968</v>
      </c>
      <c r="R11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3034092</v>
      </c>
      <c r="S11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14813508</v>
      </c>
      <c r="T11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Row],[//]]="","",INDEX([6]!NOTA[NAMA BARANG],KENKO[[#This Row],[//]]-2))</f>
        <v>KENKO CORRECTION FLUID KE-107M</v>
      </c>
      <c r="V113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113" s="4" t="s">
        <v>137</v>
      </c>
      <c r="X113" s="4" t="str">
        <f ca="1">IF(KENKO[[#This Row],[N.B.nota]]="","",ADDRESS(ROW(KENKO[QB]),COLUMN(KENKO[QB]))&amp;":"&amp;ADDRESS(ROW(),COLUMN(KENKO[QB])))</f>
        <v>$D$3:$D$113</v>
      </c>
      <c r="Y113" s="22" t="str">
        <f ca="1">IF(KENKO[[#This Row],[//]]="","",HYPERLINK("[..\\DB.xlsx]DB!e"&amp;MATCH(KENKO[[#This Row],[concat]],[4]!db[NB NOTA_C],0)+1,"&gt;"))</f>
        <v>&gt;</v>
      </c>
    </row>
    <row r="114" spans="1:25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NOTA]]="","",HYPERLINK("[NOTA_.xlsx]NOTA!e"&amp;INDEX([6]!PAJAK[//],MATCH(KENKO[[#This Row],[ID NOTA]],[6]!PAJAK[ID],0)),"&gt;") )</f>
        <v/>
      </c>
      <c r="D114" s="6" t="str">
        <f>IF(KENKO[[#This Row],[ID NOTA]]="","",INDEX(Table1[QB],MATCH(KENKO[[#This Row],[ID NOTA]],Table1[ID],0)))</f>
        <v/>
      </c>
      <c r="E11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4" s="6" t="str">
        <f>IF(KENKO[[#This Row],[NO. NOTA]]="","",INDEX([5]KE!$A:$A,MATCH(KENKO[[#This Row],[NO. NOTA]],[5]KE!$D:$D,0)))</f>
        <v/>
      </c>
      <c r="G114" s="3" t="str">
        <f>IF(KENKO[[#This Row],[ID NOTA]]="","",INDEX([6]!NOTA[TGL_H],MATCH(KENKO[[#This Row],[ID NOTA]],[6]!NOTA[ID],0)))</f>
        <v/>
      </c>
      <c r="H114" s="3" t="str">
        <f>IF(KENKO[[#This Row],[ID NOTA]]="","",INDEX([6]!NOTA[TGL.NOTA],MATCH(KENKO[[#This Row],[ID NOTA]],[6]!NOTA[ID],0)))</f>
        <v/>
      </c>
      <c r="I114" s="19" t="str">
        <f>IF(KENKO[[#This Row],[ID NOTA]]="","",INDEX([6]!NOTA[NO.NOTA],MATCH(KENKO[[#This Row],[ID NOTA]],[6]!NOTA[ID],0)))</f>
        <v/>
      </c>
      <c r="J114" s="4" t="s">
        <v>136</v>
      </c>
      <c r="K114" s="6" t="str">
        <f>""</f>
        <v/>
      </c>
      <c r="L114" s="6" t="str">
        <f ca="1">IF(KENKO[//]="","",IF(INDEX([6]!NOTA[QTY],KENKO[//]-2)="",INDEX([6]!NOTA[C],KENKO[//]-2),INDEX([6]!NOTA[QTY],KENKO[//]-2)))</f>
        <v/>
      </c>
      <c r="M114" s="6" t="str">
        <f ca="1">IF(KENKO[//]="","",IF(INDEX([6]!NOTA[STN],KENKO[//]-2)="","CTN",INDEX([6]!NOTA[STN],KENKO[//]-2)))</f>
        <v/>
      </c>
      <c r="N114" s="5" t="str">
        <f ca="1">IF(KENKO[[#This Row],[//]]="","",IF(INDEX([6]!NOTA[HARGA/ CTN],KENKO[[#This Row],[//]]-2)="",INDEX([6]!NOTA[HARGA SATUAN],KENKO[//]-2),INDEX([6]!NOTA[HARGA/ CTN],KENKO[[#This Row],[//]]-2)))</f>
        <v/>
      </c>
      <c r="O114" s="8" t="str">
        <f ca="1">IF(KENKO[[#This Row],[//]]="","",INDEX([6]!NOTA[DISC 1],KENKO[[#This Row],[//]]-2))</f>
        <v/>
      </c>
      <c r="P114" s="8" t="str">
        <f ca="1">IF(KENKO[[#This Row],[//]]="","",INDEX([6]!NOTA[DISC 2],KENKO[[#This Row],[//]]-2))</f>
        <v/>
      </c>
      <c r="Q114" s="5" t="str">
        <f ca="1">IF(KENKO[[#This Row],[//]]="","",INDEX([6]!NOTA[JUMLAH],KENKO[[#This Row],[//]]-2)*(100%-IF(ISNUMBER(KENKO[[#This Row],[DISC 1 (%)]]),KENKO[[#This Row],[DISC 1 (%)]],0)))</f>
        <v/>
      </c>
      <c r="R1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Row],[//]]="","",INDEX([6]!NOTA[NAMA BARANG],KENKO[[#This Row],[//]]-2))</f>
        <v/>
      </c>
      <c r="V114" s="4" t="str">
        <f ca="1">LOWER(SUBSTITUTE(SUBSTITUTE(SUBSTITUTE(SUBSTITUTE(SUBSTITUTE(SUBSTITUTE(SUBSTITUTE(SUBSTITUTE(KENKO[[#This Row],[N.B.nota]]," ",""),"-",""),"(",""),")",""),".",""),",",""),"/",""),"""",""))</f>
        <v/>
      </c>
      <c r="W114" s="4" t="s">
        <v>136</v>
      </c>
      <c r="X114" s="4" t="str">
        <f ca="1">IF(KENKO[[#This Row],[N.B.nota]]="","",ADDRESS(ROW(KENKO[QB]),COLUMN(KENKO[QB]))&amp;":"&amp;ADDRESS(ROW(),COLUMN(KENKO[QB])))</f>
        <v/>
      </c>
      <c r="Y114" s="22" t="str">
        <f ca="1">IF(KENKO[[#This Row],[//]]="","",HYPERLINK("[..\\DB.xlsx]DB!e"&amp;MATCH(KENKO[[#This Row],[concat]],[4]!db[NB NOTA_C],0)+1,"&gt;"))</f>
        <v/>
      </c>
    </row>
    <row r="115" spans="1:25" x14ac:dyDescent="0.25">
      <c r="A115" s="4" t="s">
        <v>74</v>
      </c>
      <c r="B115" s="6">
        <f ca="1">IF(KENKO[[#This Row],[N_ID]]="","",INDEX(Table1[ID],MATCH(KENKO[[#This Row],[N_ID]],Table1[N_ID],0)))</f>
        <v>101</v>
      </c>
      <c r="C115" s="6" t="str">
        <f ca="1">IF(KENKO[[#This Row],[ID NOTA]]="","",HYPERLINK("[NOTA_.xlsx]NOTA!e"&amp;INDEX([6]!PAJAK[//],MATCH(KENKO[[#This Row],[ID NOTA]],[6]!PAJAK[ID],0)),"&gt;") )</f>
        <v>&gt;</v>
      </c>
      <c r="D115" s="6">
        <f ca="1">IF(KENKO[[#This Row],[ID NOTA]]="","",INDEX(Table1[QB],MATCH(KENKO[[#This Row],[ID NOTA]],Table1[ID],0)))</f>
        <v>1</v>
      </c>
      <c r="E11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511</v>
      </c>
      <c r="F115" s="6" t="e">
        <f ca="1">IF(KENKO[[#This Row],[NO. NOTA]]="","",INDEX([5]KE!$A:$A,MATCH(KENKO[[#This Row],[NO. NOTA]],[5]KE!$D:$D,0)))</f>
        <v>#N/A</v>
      </c>
      <c r="G115" s="3">
        <f ca="1">IF(KENKO[[#This Row],[ID NOTA]]="","",INDEX([6]!NOTA[TGL_H],MATCH(KENKO[[#This Row],[ID NOTA]],[6]!NOTA[ID],0)))</f>
        <v>44760</v>
      </c>
      <c r="H115" s="3">
        <f ca="1">IF(KENKO[[#This Row],[ID NOTA]]="","",INDEX([6]!NOTA[TGL.NOTA],MATCH(KENKO[[#This Row],[ID NOTA]],[6]!NOTA[ID],0)))</f>
        <v>44755</v>
      </c>
      <c r="I115" s="19" t="str">
        <f ca="1">IF(KENKO[[#This Row],[ID NOTA]]="","",INDEX([6]!NOTA[NO.NOTA],MATCH(KENKO[[#This Row],[ID NOTA]],[6]!NOTA[ID],0)))</f>
        <v>22071088</v>
      </c>
      <c r="J115" s="4" t="s">
        <v>167</v>
      </c>
      <c r="K115" s="6" t="str">
        <f>""</f>
        <v/>
      </c>
      <c r="L115" s="6">
        <f ca="1">IF(KENKO[//]="","",IF(INDEX([6]!NOTA[QTY],KENKO[//]-2)="",INDEX([6]!NOTA[C],KENKO[//]-2),INDEX([6]!NOTA[QTY],KENKO[//]-2)))</f>
        <v>10</v>
      </c>
      <c r="M115" s="6" t="str">
        <f ca="1">IF(KENKO[//]="","",IF(INDEX([6]!NOTA[STN],KENKO[//]-2)="","CTN",INDEX([6]!NOTA[STN],KENKO[//]-2)))</f>
        <v>CTN</v>
      </c>
      <c r="N115" s="5">
        <f ca="1">IF(KENKO[[#This Row],[//]]="","",IF(INDEX([6]!NOTA[HARGA/ CTN],KENKO[[#This Row],[//]]-2)="",INDEX([6]!NOTA[HARGA SATUAN],KENKO[//]-2),INDEX([6]!NOTA[HARGA/ CTN],KENKO[[#This Row],[//]]-2)))</f>
        <v>1900800</v>
      </c>
      <c r="O115" s="8">
        <f ca="1">IF(KENKO[[#This Row],[//]]="","",INDEX([6]!NOTA[DISC 1],KENKO[[#This Row],[//]]-2))</f>
        <v>0.17</v>
      </c>
      <c r="P115" s="8">
        <f ca="1">IF(KENKO[[#This Row],[//]]="","",INDEX([6]!NOTA[DISC 2],KENKO[[#This Row],[//]]-2))</f>
        <v>0</v>
      </c>
      <c r="Q115" s="5">
        <f ca="1">IF(KENKO[[#This Row],[//]]="","",INDEX([6]!NOTA[JUMLAH],KENKO[[#This Row],[//]]-2)*(100%-IF(ISNUMBER(KENKO[[#This Row],[DISC 1 (%)]]),KENKO[[#This Row],[DISC 1 (%)]],0)))</f>
        <v>15776640</v>
      </c>
      <c r="R11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3231360</v>
      </c>
      <c r="S11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15776640</v>
      </c>
      <c r="T11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Row],[//]]="","",INDEX([6]!NOTA[NAMA BARANG],KENKO[[#This Row],[//]]-2))</f>
        <v>KENKO CORRECTION FLUID KE-01</v>
      </c>
      <c r="V115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5" s="4" t="s">
        <v>137</v>
      </c>
      <c r="X115" s="4" t="str">
        <f ca="1">IF(KENKO[[#This Row],[N.B.nota]]="","",ADDRESS(ROW(KENKO[QB]),COLUMN(KENKO[QB]))&amp;":"&amp;ADDRESS(ROW(),COLUMN(KENKO[QB])))</f>
        <v>$D$3:$D$115</v>
      </c>
      <c r="Y115" s="22" t="str">
        <f ca="1">IF(KENKO[[#This Row],[//]]="","",HYPERLINK("[..\\DB.xlsx]DB!e"&amp;MATCH(KENKO[[#This Row],[concat]],[4]!db[NB NOTA_C],0)+1,"&gt;"))</f>
        <v>&gt;</v>
      </c>
    </row>
    <row r="116" spans="1:25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NOTA]]="","",HYPERLINK("[NOTA_.xlsx]NOTA!e"&amp;INDEX([6]!PAJAK[//],MATCH(KENKO[[#This Row],[ID NOTA]],[6]!PAJAK[ID],0)),"&gt;") )</f>
        <v/>
      </c>
      <c r="D116" s="6" t="str">
        <f>IF(KENKO[[#This Row],[ID NOTA]]="","",INDEX(Table1[QB],MATCH(KENKO[[#This Row],[ID NOTA]],Table1[ID],0)))</f>
        <v/>
      </c>
      <c r="E11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6" s="6" t="str">
        <f>IF(KENKO[[#This Row],[NO. NOTA]]="","",INDEX([5]KE!$A:$A,MATCH(KENKO[[#This Row],[NO. NOTA]],[5]KE!$D:$D,0)))</f>
        <v/>
      </c>
      <c r="G116" s="3" t="str">
        <f>IF(KENKO[[#This Row],[ID NOTA]]="","",INDEX([6]!NOTA[TGL_H],MATCH(KENKO[[#This Row],[ID NOTA]],[6]!NOTA[ID],0)))</f>
        <v/>
      </c>
      <c r="H116" s="3" t="str">
        <f>IF(KENKO[[#This Row],[ID NOTA]]="","",INDEX([6]!NOTA[TGL.NOTA],MATCH(KENKO[[#This Row],[ID NOTA]],[6]!NOTA[ID],0)))</f>
        <v/>
      </c>
      <c r="I116" s="19" t="str">
        <f>IF(KENKO[[#This Row],[ID NOTA]]="","",INDEX([6]!NOTA[NO.NOTA],MATCH(KENKO[[#This Row],[ID NOTA]],[6]!NOTA[ID],0)))</f>
        <v/>
      </c>
      <c r="J116" s="4" t="s">
        <v>136</v>
      </c>
      <c r="K116" s="6" t="str">
        <f>""</f>
        <v/>
      </c>
      <c r="L116" s="6" t="str">
        <f ca="1">IF(KENKO[//]="","",IF(INDEX([6]!NOTA[QTY],KENKO[//]-2)="",INDEX([6]!NOTA[C],KENKO[//]-2),INDEX([6]!NOTA[QTY],KENKO[//]-2)))</f>
        <v/>
      </c>
      <c r="M116" s="6" t="str">
        <f ca="1">IF(KENKO[//]="","",IF(INDEX([6]!NOTA[STN],KENKO[//]-2)="","CTN",INDEX([6]!NOTA[STN],KENKO[//]-2)))</f>
        <v/>
      </c>
      <c r="N116" s="5" t="str">
        <f ca="1">IF(KENKO[[#This Row],[//]]="","",IF(INDEX([6]!NOTA[HARGA/ CTN],KENKO[[#This Row],[//]]-2)="",INDEX([6]!NOTA[HARGA SATUAN],KENKO[//]-2),INDEX([6]!NOTA[HARGA/ CTN],KENKO[[#This Row],[//]]-2)))</f>
        <v/>
      </c>
      <c r="O116" s="8" t="str">
        <f ca="1">IF(KENKO[[#This Row],[//]]="","",INDEX([6]!NOTA[DISC 1],KENKO[[#This Row],[//]]-2))</f>
        <v/>
      </c>
      <c r="P116" s="8" t="str">
        <f ca="1">IF(KENKO[[#This Row],[//]]="","",INDEX([6]!NOTA[DISC 2],KENKO[[#This Row],[//]]-2))</f>
        <v/>
      </c>
      <c r="Q116" s="5" t="str">
        <f ca="1">IF(KENKO[[#This Row],[//]]="","",INDEX([6]!NOTA[JUMLAH],KENKO[[#This Row],[//]]-2)*(100%-IF(ISNUMBER(KENKO[[#This Row],[DISC 1 (%)]]),KENKO[[#This Row],[DISC 1 (%)]],0)))</f>
        <v/>
      </c>
      <c r="R1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Row],[//]]="","",INDEX([6]!NOTA[NAMA BARANG],KENKO[[#This Row],[//]]-2))</f>
        <v/>
      </c>
      <c r="V116" s="4" t="str">
        <f ca="1">LOWER(SUBSTITUTE(SUBSTITUTE(SUBSTITUTE(SUBSTITUTE(SUBSTITUTE(SUBSTITUTE(SUBSTITUTE(SUBSTITUTE(KENKO[[#This Row],[N.B.nota]]," ",""),"-",""),"(",""),")",""),".",""),",",""),"/",""),"""",""))</f>
        <v/>
      </c>
      <c r="W116" s="4" t="s">
        <v>136</v>
      </c>
      <c r="X116" s="4" t="str">
        <f ca="1">IF(KENKO[[#This Row],[N.B.nota]]="","",ADDRESS(ROW(KENKO[QB]),COLUMN(KENKO[QB]))&amp;":"&amp;ADDRESS(ROW(),COLUMN(KENKO[QB])))</f>
        <v/>
      </c>
      <c r="Y116" s="22" t="str">
        <f ca="1">IF(KENKO[[#This Row],[//]]="","",HYPERLINK("[..\\DB.xlsx]DB!e"&amp;MATCH(KENKO[[#This Row],[concat]],[4]!db[NB NOTA_C],0)+1,"&gt;"))</f>
        <v/>
      </c>
    </row>
    <row r="117" spans="1:25" x14ac:dyDescent="0.25">
      <c r="A117" s="4" t="s">
        <v>73</v>
      </c>
      <c r="B117" s="6">
        <f ca="1">IF(KENKO[[#This Row],[N_ID]]="","",INDEX(Table1[ID],MATCH(KENKO[[#This Row],[N_ID]],Table1[N_ID],0)))</f>
        <v>100</v>
      </c>
      <c r="C117" s="6" t="str">
        <f ca="1">IF(KENKO[[#This Row],[ID NOTA]]="","",HYPERLINK("[NOTA_.xlsx]NOTA!e"&amp;INDEX([6]!PAJAK[//],MATCH(KENKO[[#This Row],[ID NOTA]],[6]!PAJAK[ID],0)),"&gt;") )</f>
        <v>&gt;</v>
      </c>
      <c r="D117" s="6">
        <f ca="1">IF(KENKO[[#This Row],[ID NOTA]]="","",INDEX(Table1[QB],MATCH(KENKO[[#This Row],[ID NOTA]],Table1[ID],0)))</f>
        <v>5</v>
      </c>
      <c r="E11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505</v>
      </c>
      <c r="F117" s="6" t="e">
        <f ca="1">IF(KENKO[[#This Row],[NO. NOTA]]="","",INDEX([5]KE!$A:$A,MATCH(KENKO[[#This Row],[NO. NOTA]],[5]KE!$D:$D,0)))</f>
        <v>#N/A</v>
      </c>
      <c r="G117" s="3">
        <f ca="1">IF(KENKO[[#This Row],[ID NOTA]]="","",INDEX([6]!NOTA[TGL_H],MATCH(KENKO[[#This Row],[ID NOTA]],[6]!NOTA[ID],0)))</f>
        <v>44760</v>
      </c>
      <c r="H117" s="3">
        <f ca="1">IF(KENKO[[#This Row],[ID NOTA]]="","",INDEX([6]!NOTA[TGL.NOTA],MATCH(KENKO[[#This Row],[ID NOTA]],[6]!NOTA[ID],0)))</f>
        <v>44756</v>
      </c>
      <c r="I117" s="19" t="str">
        <f ca="1">IF(KENKO[[#This Row],[ID NOTA]]="","",INDEX([6]!NOTA[NO.NOTA],MATCH(KENKO[[#This Row],[ID NOTA]],[6]!NOTA[ID],0)))</f>
        <v>22071194</v>
      </c>
      <c r="J117" s="4" t="s">
        <v>201</v>
      </c>
      <c r="K117" s="6" t="str">
        <f>""</f>
        <v/>
      </c>
      <c r="L117" s="6">
        <f ca="1">IF(KENKO[//]="","",IF(INDEX([6]!NOTA[QTY],KENKO[//]-2)="",INDEX([6]!NOTA[C],KENKO[//]-2),INDEX([6]!NOTA[QTY],KENKO[//]-2)))</f>
        <v>6</v>
      </c>
      <c r="M117" s="6" t="str">
        <f ca="1">IF(KENKO[//]="","",IF(INDEX([6]!NOTA[STN],KENKO[//]-2)="","CTN",INDEX([6]!NOTA[STN],KENKO[//]-2)))</f>
        <v>CTN</v>
      </c>
      <c r="N117" s="5">
        <f ca="1">IF(KENKO[[#This Row],[//]]="","",IF(INDEX([6]!NOTA[HARGA/ CTN],KENKO[[#This Row],[//]]-2)="",INDEX([6]!NOTA[HARGA SATUAN],KENKO[//]-2),INDEX([6]!NOTA[HARGA/ CTN],KENKO[[#This Row],[//]]-2)))</f>
        <v>462000</v>
      </c>
      <c r="O117" s="8">
        <f ca="1">IF(KENKO[[#This Row],[//]]="","",INDEX([6]!NOTA[DISC 1],KENKO[[#This Row],[//]]-2))</f>
        <v>0.17</v>
      </c>
      <c r="P117" s="8">
        <f ca="1">IF(KENKO[[#This Row],[//]]="","",INDEX([6]!NOTA[DISC 2],KENKO[[#This Row],[//]]-2))</f>
        <v>0</v>
      </c>
      <c r="Q117" s="5">
        <f ca="1">IF(KENKO[[#This Row],[//]]="","",INDEX([6]!NOTA[JUMLAH],KENKO[[#This Row],[//]]-2)*(100%-IF(ISNUMBER(KENKO[[#This Row],[DISC 1 (%)]]),KENKO[[#This Row],[DISC 1 (%)]],0)))</f>
        <v>2300760</v>
      </c>
      <c r="R1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Row],[//]]="","",INDEX([6]!NOTA[NAMA BARANG],KENKO[[#This Row],[//]]-2))</f>
        <v>KENKO TAPE DISPENSER TD-323 (1 &amp; 3 CORE)</v>
      </c>
      <c r="V117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17" s="4" t="s">
        <v>137</v>
      </c>
      <c r="X117" s="4" t="str">
        <f ca="1">IF(KENKO[[#This Row],[N.B.nota]]="","",ADDRESS(ROW(KENKO[QB]),COLUMN(KENKO[QB]))&amp;":"&amp;ADDRESS(ROW(),COLUMN(KENKO[QB])))</f>
        <v>$D$3:$D$117</v>
      </c>
      <c r="Y117" s="22" t="str">
        <f ca="1">IF(KENKO[[#This Row],[//]]="","",HYPERLINK("[..\\DB.xlsx]DB!e"&amp;MATCH(KENKO[[#This Row],[concat]],[4]!db[NB NOTA_C],0)+1,"&gt;"))</f>
        <v>&gt;</v>
      </c>
    </row>
    <row r="118" spans="1:25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NOTA]]="","",HYPERLINK("[NOTA_.xlsx]NOTA!e"&amp;INDEX([6]!PAJAK[//],MATCH(KENKO[[#This Row],[ID NOTA]],[6]!PAJAK[ID],0)),"&gt;") )</f>
        <v/>
      </c>
      <c r="D118" s="6" t="str">
        <f>IF(KENKO[[#This Row],[ID NOTA]]="","",INDEX(Table1[QB],MATCH(KENKO[[#This Row],[ID NOTA]],Table1[ID],0)))</f>
        <v/>
      </c>
      <c r="E11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506</v>
      </c>
      <c r="F118" s="6" t="str">
        <f>IF(KENKO[[#This Row],[NO. NOTA]]="","",INDEX([5]KE!$A:$A,MATCH(KENKO[[#This Row],[NO. NOTA]],[5]KE!$D:$D,0)))</f>
        <v/>
      </c>
      <c r="G118" s="3" t="str">
        <f>IF(KENKO[[#This Row],[ID NOTA]]="","",INDEX([6]!NOTA[TGL_H],MATCH(KENKO[[#This Row],[ID NOTA]],[6]!NOTA[ID],0)))</f>
        <v/>
      </c>
      <c r="H118" s="3" t="str">
        <f>IF(KENKO[[#This Row],[ID NOTA]]="","",INDEX([6]!NOTA[TGL.NOTA],MATCH(KENKO[[#This Row],[ID NOTA]],[6]!NOTA[ID],0)))</f>
        <v/>
      </c>
      <c r="I118" s="19" t="str">
        <f>IF(KENKO[[#This Row],[ID NOTA]]="","",INDEX([6]!NOTA[NO.NOTA],MATCH(KENKO[[#This Row],[ID NOTA]],[6]!NOTA[ID],0)))</f>
        <v/>
      </c>
      <c r="J118" s="4" t="s">
        <v>221</v>
      </c>
      <c r="K118" s="6" t="str">
        <f>""</f>
        <v/>
      </c>
      <c r="L118" s="6">
        <f ca="1">IF(KENKO[//]="","",IF(INDEX([6]!NOTA[QTY],KENKO[//]-2)="",INDEX([6]!NOTA[C],KENKO[//]-2),INDEX([6]!NOTA[QTY],KENKO[//]-2)))</f>
        <v>4</v>
      </c>
      <c r="M118" s="6" t="str">
        <f ca="1">IF(KENKO[//]="","",IF(INDEX([6]!NOTA[STN],KENKO[//]-2)="","CTN",INDEX([6]!NOTA[STN],KENKO[//]-2)))</f>
        <v>CTN</v>
      </c>
      <c r="N118" s="5">
        <f ca="1">IF(KENKO[[#This Row],[//]]="","",IF(INDEX([6]!NOTA[HARGA/ CTN],KENKO[[#This Row],[//]]-2)="",INDEX([6]!NOTA[HARGA SATUAN],KENKO[//]-2),INDEX([6]!NOTA[HARGA/ CTN],KENKO[[#This Row],[//]]-2)))</f>
        <v>462000</v>
      </c>
      <c r="O118" s="8">
        <f ca="1">IF(KENKO[[#This Row],[//]]="","",INDEX([6]!NOTA[DISC 1],KENKO[[#This Row],[//]]-2))</f>
        <v>0.17</v>
      </c>
      <c r="P118" s="8">
        <f ca="1">IF(KENKO[[#This Row],[//]]="","",INDEX([6]!NOTA[DISC 2],KENKO[[#This Row],[//]]-2))</f>
        <v>0</v>
      </c>
      <c r="Q118" s="5">
        <f ca="1">IF(KENKO[[#This Row],[//]]="","",INDEX([6]!NOTA[JUMLAH],KENKO[[#This Row],[//]]-2)*(100%-IF(ISNUMBER(KENKO[[#This Row],[DISC 1 (%)]]),KENKO[[#This Row],[DISC 1 (%)]],0)))</f>
        <v>1533840</v>
      </c>
      <c r="R1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Row],[//]]="","",INDEX([6]!NOTA[NAMA BARANG],KENKO[[#This Row],[//]]-2))</f>
        <v>KENKO TAPE DISPENSER TD-323 NC (1 &amp; 3 CORE)</v>
      </c>
      <c r="V118" s="4" t="str">
        <f ca="1">LOWER(SUBSTITUTE(SUBSTITUTE(SUBSTITUTE(SUBSTITUTE(SUBSTITUTE(SUBSTITUTE(SUBSTITUTE(SUBSTITUTE(KENKO[[#This Row],[N.B.nota]]," ",""),"-",""),"(",""),")",""),".",""),",",""),"/",""),"""",""))</f>
        <v>kenkotapedispensertd323nc1&amp;3core</v>
      </c>
      <c r="W118" s="4" t="s">
        <v>137</v>
      </c>
      <c r="X118" s="4" t="str">
        <f ca="1">IF(KENKO[[#This Row],[N.B.nota]]="","",ADDRESS(ROW(KENKO[QB]),COLUMN(KENKO[QB]))&amp;":"&amp;ADDRESS(ROW(),COLUMN(KENKO[QB])))</f>
        <v>$D$3:$D$118</v>
      </c>
      <c r="Y118" s="22" t="str">
        <f ca="1">IF(KENKO[[#This Row],[//]]="","",HYPERLINK("[..\\DB.xlsx]DB!e"&amp;MATCH(KENKO[[#This Row],[concat]],[4]!db[NB NOTA_C],0)+1,"&gt;"))</f>
        <v>&gt;</v>
      </c>
    </row>
    <row r="119" spans="1:25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NOTA]]="","",HYPERLINK("[NOTA_.xlsx]NOTA!e"&amp;INDEX([6]!PAJAK[//],MATCH(KENKO[[#This Row],[ID NOTA]],[6]!PAJAK[ID],0)),"&gt;")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507</v>
      </c>
      <c r="F119" s="6" t="str">
        <f>IF(KENKO[[#This Row],[NO. NOTA]]="","",INDEX([5]KE!$A:$A,MATCH(KENKO[[#This Row],[NO. NOTA]],[5]KE!$D:$D,0)))</f>
        <v/>
      </c>
      <c r="G119" s="3" t="str">
        <f>IF(KENKO[[#This Row],[ID NOTA]]="","",INDEX([6]!NOTA[TGL_H],MATCH(KENKO[[#This Row],[ID NOTA]],[6]!NOTA[ID],0)))</f>
        <v/>
      </c>
      <c r="H119" s="3" t="str">
        <f>IF(KENKO[[#This Row],[ID NOTA]]="","",INDEX([6]!NOTA[TGL.NOTA],MATCH(KENKO[[#This Row],[ID NOTA]],[6]!NOTA[ID],0)))</f>
        <v/>
      </c>
      <c r="I119" s="19" t="str">
        <f>IF(KENKO[[#This Row],[ID NOTA]]="","",INDEX([6]!NOTA[NO.NOTA],MATCH(KENKO[[#This Row],[ID NOTA]],[6]!NOTA[ID],0)))</f>
        <v/>
      </c>
      <c r="J119" s="4" t="s">
        <v>222</v>
      </c>
      <c r="K119" s="6" t="str">
        <f>""</f>
        <v/>
      </c>
      <c r="L119" s="6">
        <f ca="1">IF(KENKO[//]="","",IF(INDEX([6]!NOTA[QTY],KENKO[//]-2)="",INDEX([6]!NOTA[C],KENKO[//]-2),INDEX([6]!NOTA[QTY],KENKO[//]-2)))</f>
        <v>5</v>
      </c>
      <c r="M119" s="6" t="str">
        <f ca="1">IF(KENKO[//]="","",IF(INDEX([6]!NOTA[STN],KENKO[//]-2)="","CTN",INDEX([6]!NOTA[STN],KENKO[//]-2)))</f>
        <v>CTN</v>
      </c>
      <c r="N119" s="5">
        <f ca="1">IF(KENKO[[#This Row],[//]]="","",IF(INDEX([6]!NOTA[HARGA/ CTN],KENKO[[#This Row],[//]]-2)="",INDEX([6]!NOTA[HARGA SATUAN],KENKO[//]-2),INDEX([6]!NOTA[HARGA/ CTN],KENKO[[#This Row],[//]]-2)))</f>
        <v>1164000</v>
      </c>
      <c r="O119" s="8">
        <f ca="1">IF(KENKO[[#This Row],[//]]="","",INDEX([6]!NOTA[DISC 1],KENKO[[#This Row],[//]]-2))</f>
        <v>0.17</v>
      </c>
      <c r="P119" s="8">
        <f ca="1">IF(KENKO[[#This Row],[//]]="","",INDEX([6]!NOTA[DISC 2],KENKO[[#This Row],[//]]-2))</f>
        <v>0</v>
      </c>
      <c r="Q119" s="5">
        <f ca="1">IF(KENKO[[#This Row],[//]]="","",INDEX([6]!NOTA[JUMLAH],KENKO[[#This Row],[//]]-2)*(100%-IF(ISNUMBER(KENKO[[#This Row],[DISC 1 (%)]]),KENKO[[#This Row],[DISC 1 (%)]],0)))</f>
        <v>4830600</v>
      </c>
      <c r="R1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Row],[//]]="","",INDEX([6]!NOTA[NAMA BARANG],KENKO[[#This Row],[//]]-2))</f>
        <v>KENKO PUNCH NO.85</v>
      </c>
      <c r="V119" s="4" t="str">
        <f ca="1">LOWER(SUBSTITUTE(SUBSTITUTE(SUBSTITUTE(SUBSTITUTE(SUBSTITUTE(SUBSTITUTE(SUBSTITUTE(SUBSTITUTE(KENKO[[#This Row],[N.B.nota]]," ",""),"-",""),"(",""),")",""),".",""),",",""),"/",""),"""",""))</f>
        <v>kenkopunchno85</v>
      </c>
      <c r="W119" s="4" t="s">
        <v>137</v>
      </c>
      <c r="X119" s="4" t="str">
        <f ca="1">IF(KENKO[[#This Row],[N.B.nota]]="","",ADDRESS(ROW(KENKO[QB]),COLUMN(KENKO[QB]))&amp;":"&amp;ADDRESS(ROW(),COLUMN(KENKO[QB])))</f>
        <v>$D$3:$D$119</v>
      </c>
      <c r="Y119" s="22" t="str">
        <f ca="1">IF(KENKO[[#This Row],[//]]="","",HYPERLINK("[..\\DB.xlsx]DB!e"&amp;MATCH(KENKO[[#This Row],[concat]],[4]!db[NB NOTA_C],0)+1,"&gt;"))</f>
        <v>&gt;</v>
      </c>
    </row>
    <row r="120" spans="1:25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NOTA]]="","",HYPERLINK("[NOTA_.xlsx]NOTA!e"&amp;INDEX([6]!PAJAK[//],MATCH(KENKO[[#This Row],[ID NOTA]],[6]!PAJAK[ID],0)),"&gt;")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508</v>
      </c>
      <c r="F120" s="6" t="str">
        <f>IF(KENKO[[#This Row],[NO. NOTA]]="","",INDEX([5]KE!$A:$A,MATCH(KENKO[[#This Row],[NO. NOTA]],[5]KE!$D:$D,0)))</f>
        <v/>
      </c>
      <c r="G120" s="3" t="str">
        <f>IF(KENKO[[#This Row],[ID NOTA]]="","",INDEX([6]!NOTA[TGL_H],MATCH(KENKO[[#This Row],[ID NOTA]],[6]!NOTA[ID],0)))</f>
        <v/>
      </c>
      <c r="H120" s="3" t="str">
        <f>IF(KENKO[[#This Row],[ID NOTA]]="","",INDEX([6]!NOTA[TGL.NOTA],MATCH(KENKO[[#This Row],[ID NOTA]],[6]!NOTA[ID],0)))</f>
        <v/>
      </c>
      <c r="I120" s="19" t="str">
        <f>IF(KENKO[[#This Row],[ID NOTA]]="","",INDEX([6]!NOTA[NO.NOTA],MATCH(KENKO[[#This Row],[ID NOTA]],[6]!NOTA[ID],0)))</f>
        <v/>
      </c>
      <c r="J120" s="4" t="s">
        <v>223</v>
      </c>
      <c r="K120" s="6" t="str">
        <f>""</f>
        <v/>
      </c>
      <c r="L120" s="6">
        <f ca="1">IF(KENKO[//]="","",IF(INDEX([6]!NOTA[QTY],KENKO[//]-2)="",INDEX([6]!NOTA[C],KENKO[//]-2),INDEX([6]!NOTA[QTY],KENKO[//]-2)))</f>
        <v>1</v>
      </c>
      <c r="M120" s="6" t="str">
        <f ca="1">IF(KENKO[//]="","",IF(INDEX([6]!NOTA[STN],KENKO[//]-2)="","CTN",INDEX([6]!NOTA[STN],KENKO[//]-2)))</f>
        <v>CTN</v>
      </c>
      <c r="N120" s="5">
        <f ca="1">IF(KENKO[[#This Row],[//]]="","",IF(INDEX([6]!NOTA[HARGA/ CTN],KENKO[[#This Row],[//]]-2)="",INDEX([6]!NOTA[HARGA SATUAN],KENKO[//]-2),INDEX([6]!NOTA[HARGA/ CTN],KENKO[[#This Row],[//]]-2)))</f>
        <v>1416000</v>
      </c>
      <c r="O120" s="8">
        <f ca="1">IF(KENKO[[#This Row],[//]]="","",INDEX([6]!NOTA[DISC 1],KENKO[[#This Row],[//]]-2))</f>
        <v>0.17</v>
      </c>
      <c r="P120" s="8">
        <f ca="1">IF(KENKO[[#This Row],[//]]="","",INDEX([6]!NOTA[DISC 2],KENKO[[#This Row],[//]]-2))</f>
        <v>0</v>
      </c>
      <c r="Q120" s="5">
        <f ca="1">IF(KENKO[[#This Row],[//]]="","",INDEX([6]!NOTA[JUMLAH],KENKO[[#This Row],[//]]-2)*(100%-IF(ISNUMBER(KENKO[[#This Row],[DISC 1 (%)]]),KENKO[[#This Row],[DISC 1 (%)]],0)))</f>
        <v>1175280</v>
      </c>
      <c r="R1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Row],[//]]="","",INDEX([6]!NOTA[NAMA BARANG],KENKO[[#This Row],[//]]-2))</f>
        <v>KENKO PUNCH NO.85 XL</v>
      </c>
      <c r="V120" s="4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20" s="4" t="s">
        <v>137</v>
      </c>
      <c r="X120" s="4" t="str">
        <f ca="1">IF(KENKO[[#This Row],[N.B.nota]]="","",ADDRESS(ROW(KENKO[QB]),COLUMN(KENKO[QB]))&amp;":"&amp;ADDRESS(ROW(),COLUMN(KENKO[QB])))</f>
        <v>$D$3:$D$120</v>
      </c>
      <c r="Y120" s="22" t="str">
        <f ca="1">IF(KENKO[[#This Row],[//]]="","",HYPERLINK("[..\\DB.xlsx]DB!e"&amp;MATCH(KENKO[[#This Row],[concat]],[4]!db[NB NOTA_C],0)+1,"&gt;"))</f>
        <v>&gt;</v>
      </c>
    </row>
    <row r="121" spans="1:25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NOTA]]="","",HYPERLINK("[NOTA_.xlsx]NOTA!e"&amp;INDEX([6]!PAJAK[//],MATCH(KENKO[[#This Row],[ID NOTA]],[6]!PAJAK[ID],0)),"&gt;")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509</v>
      </c>
      <c r="F121" s="6" t="str">
        <f>IF(KENKO[[#This Row],[NO. NOTA]]="","",INDEX([5]KE!$A:$A,MATCH(KENKO[[#This Row],[NO. NOTA]],[5]KE!$D:$D,0)))</f>
        <v/>
      </c>
      <c r="G121" s="3" t="str">
        <f>IF(KENKO[[#This Row],[ID NOTA]]="","",INDEX([6]!NOTA[TGL_H],MATCH(KENKO[[#This Row],[ID NOTA]],[6]!NOTA[ID],0)))</f>
        <v/>
      </c>
      <c r="H121" s="3" t="str">
        <f>IF(KENKO[[#This Row],[ID NOTA]]="","",INDEX([6]!NOTA[TGL.NOTA],MATCH(KENKO[[#This Row],[ID NOTA]],[6]!NOTA[ID],0)))</f>
        <v/>
      </c>
      <c r="I121" s="19" t="str">
        <f>IF(KENKO[[#This Row],[ID NOTA]]="","",INDEX([6]!NOTA[NO.NOTA],MATCH(KENKO[[#This Row],[ID NOTA]],[6]!NOTA[ID],0)))</f>
        <v/>
      </c>
      <c r="J121" s="4" t="s">
        <v>224</v>
      </c>
      <c r="K121" s="6" t="str">
        <f>""</f>
        <v/>
      </c>
      <c r="L121" s="6">
        <f ca="1">IF(KENKO[//]="","",IF(INDEX([6]!NOTA[QTY],KENKO[//]-2)="",INDEX([6]!NOTA[C],KENKO[//]-2),INDEX([6]!NOTA[QTY],KENKO[//]-2)))</f>
        <v>2</v>
      </c>
      <c r="M121" s="6" t="str">
        <f ca="1">IF(KENKO[//]="","",IF(INDEX([6]!NOTA[STN],KENKO[//]-2)="","CTN",INDEX([6]!NOTA[STN],KENKO[//]-2)))</f>
        <v>CTN</v>
      </c>
      <c r="N121" s="5">
        <f ca="1">IF(KENKO[[#This Row],[//]]="","",IF(INDEX([6]!NOTA[HARGA/ CTN],KENKO[[#This Row],[//]]-2)="",INDEX([6]!NOTA[HARGA SATUAN],KENKO[//]-2),INDEX([6]!NOTA[HARGA/ CTN],KENKO[[#This Row],[//]]-2)))</f>
        <v>1150000</v>
      </c>
      <c r="O121" s="8">
        <f ca="1">IF(KENKO[[#This Row],[//]]="","",INDEX([6]!NOTA[DISC 1],KENKO[[#This Row],[//]]-2))</f>
        <v>0.17</v>
      </c>
      <c r="P121" s="8">
        <f ca="1">IF(KENKO[[#This Row],[//]]="","",INDEX([6]!NOTA[DISC 2],KENKO[[#This Row],[//]]-2))</f>
        <v>0</v>
      </c>
      <c r="Q121" s="5">
        <f ca="1">IF(KENKO[[#This Row],[//]]="","",INDEX([6]!NOTA[JUMLAH],KENKO[[#This Row],[//]]-2)*(100%-IF(ISNUMBER(KENKO[[#This Row],[DISC 1 (%)]]),KENKO[[#This Row],[DISC 1 (%)]],0)))</f>
        <v>1909000</v>
      </c>
      <c r="R1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2406520</v>
      </c>
      <c r="S1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11749480</v>
      </c>
      <c r="T12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Row],[//]]="","",INDEX([6]!NOTA[NAMA BARANG],KENKO[[#This Row],[//]]-2))</f>
        <v>KENKO LAMINATING FILM LF100-2234 (FC) @ 100PCS</v>
      </c>
      <c r="V121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21" s="4" t="s">
        <v>137</v>
      </c>
      <c r="X121" s="4" t="str">
        <f ca="1">IF(KENKO[[#This Row],[N.B.nota]]="","",ADDRESS(ROW(KENKO[QB]),COLUMN(KENKO[QB]))&amp;":"&amp;ADDRESS(ROW(),COLUMN(KENKO[QB])))</f>
        <v>$D$3:$D$121</v>
      </c>
      <c r="Y121" s="22" t="str">
        <f ca="1">IF(KENKO[[#This Row],[//]]="","",HYPERLINK("[..\\DB.xlsx]DB!e"&amp;MATCH(KENKO[[#This Row],[concat]],[4]!db[NB NOTA_C],0)+1,"&gt;"))</f>
        <v>&gt;</v>
      </c>
    </row>
    <row r="122" spans="1:25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NOTA]]="","",HYPERLINK("[NOTA_.xlsx]NOTA!e"&amp;INDEX([6]!PAJAK[//],MATCH(KENKO[[#This Row],[ID NOTA]],[6]!PAJAK[ID],0)),"&gt;") )</f>
        <v/>
      </c>
      <c r="D122" s="6" t="str">
        <f>IF(KENKO[[#This Row],[ID NOTA]]="","",INDEX(Table1[QB],MATCH(KENKO[[#This Row],[ID NOTA]],Table1[ID],0)))</f>
        <v/>
      </c>
      <c r="E12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2" s="6" t="str">
        <f>IF(KENKO[[#This Row],[NO. NOTA]]="","",INDEX([5]KE!$A:$A,MATCH(KENKO[[#This Row],[NO. NOTA]],[5]KE!$D:$D,0)))</f>
        <v/>
      </c>
      <c r="G122" s="3" t="str">
        <f>IF(KENKO[[#This Row],[ID NOTA]]="","",INDEX([6]!NOTA[TGL_H],MATCH(KENKO[[#This Row],[ID NOTA]],[6]!NOTA[ID],0)))</f>
        <v/>
      </c>
      <c r="H122" s="3" t="str">
        <f>IF(KENKO[[#This Row],[ID NOTA]]="","",INDEX([6]!NOTA[TGL.NOTA],MATCH(KENKO[[#This Row],[ID NOTA]],[6]!NOTA[ID],0)))</f>
        <v/>
      </c>
      <c r="I122" s="19" t="str">
        <f>IF(KENKO[[#This Row],[ID NOTA]]="","",INDEX([6]!NOTA[NO.NOTA],MATCH(KENKO[[#This Row],[ID NOTA]],[6]!NOTA[ID],0)))</f>
        <v/>
      </c>
      <c r="J122" s="4" t="s">
        <v>136</v>
      </c>
      <c r="K122" s="6" t="str">
        <f>""</f>
        <v/>
      </c>
      <c r="L122" s="6" t="str">
        <f ca="1">IF(KENKO[//]="","",IF(INDEX([6]!NOTA[QTY],KENKO[//]-2)="",INDEX([6]!NOTA[C],KENKO[//]-2),INDEX([6]!NOTA[QTY],KENKO[//]-2)))</f>
        <v/>
      </c>
      <c r="M122" s="6" t="str">
        <f ca="1">IF(KENKO[//]="","",IF(INDEX([6]!NOTA[STN],KENKO[//]-2)="","CTN",INDEX([6]!NOTA[STN],KENKO[//]-2)))</f>
        <v/>
      </c>
      <c r="N122" s="5" t="str">
        <f ca="1">IF(KENKO[[#This Row],[//]]="","",IF(INDEX([6]!NOTA[HARGA/ CTN],KENKO[[#This Row],[//]]-2)="",INDEX([6]!NOTA[HARGA SATUAN],KENKO[//]-2),INDEX([6]!NOTA[HARGA/ CTN],KENKO[[#This Row],[//]]-2)))</f>
        <v/>
      </c>
      <c r="O122" s="8" t="str">
        <f ca="1">IF(KENKO[[#This Row],[//]]="","",INDEX([6]!NOTA[DISC 1],KENKO[[#This Row],[//]]-2))</f>
        <v/>
      </c>
      <c r="P122" s="8" t="str">
        <f ca="1">IF(KENKO[[#This Row],[//]]="","",INDEX([6]!NOTA[DISC 2],KENKO[[#This Row],[//]]-2))</f>
        <v/>
      </c>
      <c r="Q122" s="5" t="str">
        <f ca="1">IF(KENKO[[#This Row],[//]]="","",INDEX([6]!NOTA[JUMLAH],KENKO[[#This Row],[//]]-2)*(100%-IF(ISNUMBER(KENKO[[#This Row],[DISC 1 (%)]]),KENKO[[#This Row],[DISC 1 (%)]],0)))</f>
        <v/>
      </c>
      <c r="R1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Row],[//]]="","",INDEX([6]!NOTA[NAMA BARANG],KENKO[[#This Row],[//]]-2))</f>
        <v/>
      </c>
      <c r="V122" s="4" t="str">
        <f ca="1">LOWER(SUBSTITUTE(SUBSTITUTE(SUBSTITUTE(SUBSTITUTE(SUBSTITUTE(SUBSTITUTE(SUBSTITUTE(SUBSTITUTE(KENKO[[#This Row],[N.B.nota]]," ",""),"-",""),"(",""),")",""),".",""),",",""),"/",""),"""",""))</f>
        <v/>
      </c>
      <c r="W122" s="4" t="s">
        <v>136</v>
      </c>
      <c r="X122" s="4" t="str">
        <f ca="1">IF(KENKO[[#This Row],[N.B.nota]]="","",ADDRESS(ROW(KENKO[QB]),COLUMN(KENKO[QB]))&amp;":"&amp;ADDRESS(ROW(),COLUMN(KENKO[QB])))</f>
        <v/>
      </c>
      <c r="Y122" s="22" t="str">
        <f ca="1">IF(KENKO[[#This Row],[//]]="","",HYPERLINK("[..\\DB.xlsx]DB!e"&amp;MATCH(KENKO[[#This Row],[concat]],[4]!db[NB NOTA_C],0)+1,"&gt;"))</f>
        <v/>
      </c>
    </row>
    <row r="123" spans="1:25" x14ac:dyDescent="0.25">
      <c r="A123" s="4" t="s">
        <v>75</v>
      </c>
      <c r="B123" s="6">
        <f ca="1">IF(KENKO[[#This Row],[N_ID]]="","",INDEX(Table1[ID],MATCH(KENKO[[#This Row],[N_ID]],Table1[N_ID],0)))</f>
        <v>99</v>
      </c>
      <c r="C123" s="6" t="str">
        <f ca="1">IF(KENKO[[#This Row],[ID NOTA]]="","",HYPERLINK("[NOTA_.xlsx]NOTA!e"&amp;INDEX([6]!PAJAK[//],MATCH(KENKO[[#This Row],[ID NOTA]],[6]!PAJAK[ID],0)),"&gt;") )</f>
        <v>&gt;</v>
      </c>
      <c r="D123" s="6">
        <f ca="1">IF(KENKO[[#This Row],[ID NOTA]]="","",INDEX(Table1[QB],MATCH(KENKO[[#This Row],[ID NOTA]],Table1[ID],0)))</f>
        <v>1</v>
      </c>
      <c r="E12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503</v>
      </c>
      <c r="F123" s="6" t="e">
        <f ca="1">IF(KENKO[[#This Row],[NO. NOTA]]="","",INDEX([5]KE!$A:$A,MATCH(KENKO[[#This Row],[NO. NOTA]],[5]KE!$D:$D,0)))</f>
        <v>#N/A</v>
      </c>
      <c r="G123" s="3">
        <f ca="1">IF(KENKO[[#This Row],[ID NOTA]]="","",INDEX([6]!NOTA[TGL_H],MATCH(KENKO[[#This Row],[ID NOTA]],[6]!NOTA[ID],0)))</f>
        <v>44760</v>
      </c>
      <c r="H123" s="3">
        <f ca="1">IF(KENKO[[#This Row],[ID NOTA]]="","",INDEX([6]!NOTA[TGL.NOTA],MATCH(KENKO[[#This Row],[ID NOTA]],[6]!NOTA[ID],0)))</f>
        <v>44756</v>
      </c>
      <c r="I123" s="19" t="str">
        <f ca="1">IF(KENKO[[#This Row],[ID NOTA]]="","",INDEX([6]!NOTA[NO.NOTA],MATCH(KENKO[[#This Row],[ID NOTA]],[6]!NOTA[ID],0)))</f>
        <v>22071218</v>
      </c>
      <c r="J123" s="4" t="s">
        <v>201</v>
      </c>
      <c r="K123" s="6" t="str">
        <f>""</f>
        <v/>
      </c>
      <c r="L123" s="6">
        <f ca="1">IF(KENKO[//]="","",IF(INDEX([6]!NOTA[QTY],KENKO[//]-2)="",INDEX([6]!NOTA[C],KENKO[//]-2),INDEX([6]!NOTA[QTY],KENKO[//]-2)))</f>
        <v>25</v>
      </c>
      <c r="M123" s="6" t="str">
        <f ca="1">IF(KENKO[//]="","",IF(INDEX([6]!NOTA[STN],KENKO[//]-2)="","CTN",INDEX([6]!NOTA[STN],KENKO[//]-2)))</f>
        <v>CTN</v>
      </c>
      <c r="N123" s="5">
        <f ca="1">IF(KENKO[[#This Row],[//]]="","",IF(INDEX([6]!NOTA[HARGA/ CTN],KENKO[[#This Row],[//]]-2)="",INDEX([6]!NOTA[HARGA SATUAN],KENKO[//]-2),INDEX([6]!NOTA[HARGA/ CTN],KENKO[[#This Row],[//]]-2)))</f>
        <v>462000</v>
      </c>
      <c r="O123" s="8">
        <f ca="1">IF(KENKO[[#This Row],[//]]="","",INDEX([6]!NOTA[DISC 1],KENKO[[#This Row],[//]]-2))</f>
        <v>0.17</v>
      </c>
      <c r="P123" s="8">
        <f ca="1">IF(KENKO[[#This Row],[//]]="","",INDEX([6]!NOTA[DISC 2],KENKO[[#This Row],[//]]-2))</f>
        <v>0</v>
      </c>
      <c r="Q123" s="5">
        <f ca="1">IF(KENKO[[#This Row],[//]]="","",INDEX([6]!NOTA[JUMLAH],KENKO[[#This Row],[//]]-2)*(100%-IF(ISNUMBER(KENKO[[#This Row],[DISC 1 (%)]]),KENKO[[#This Row],[DISC 1 (%)]],0)))</f>
        <v>9586500</v>
      </c>
      <c r="R12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1963500.0000000002</v>
      </c>
      <c r="S12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9586500</v>
      </c>
      <c r="T12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Row],[//]]="","",INDEX([6]!NOTA[NAMA BARANG],KENKO[[#This Row],[//]]-2))</f>
        <v>KENKO TAPE DISPENSER TD-323 (1 &amp; 3 CORE)</v>
      </c>
      <c r="V12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3" s="4" t="s">
        <v>137</v>
      </c>
      <c r="X123" s="4" t="str">
        <f ca="1">IF(KENKO[[#This Row],[N.B.nota]]="","",ADDRESS(ROW(KENKO[QB]),COLUMN(KENKO[QB]))&amp;":"&amp;ADDRESS(ROW(),COLUMN(KENKO[QB])))</f>
        <v>$D$3:$D$123</v>
      </c>
      <c r="Y123" s="22" t="str">
        <f ca="1">IF(KENKO[[#This Row],[//]]="","",HYPERLINK("[..\\DB.xlsx]DB!e"&amp;MATCH(KENKO[[#This Row],[concat]],[4]!db[NB NOTA_C],0)+1,"&gt;"))</f>
        <v>&gt;</v>
      </c>
    </row>
    <row r="124" spans="1:25" x14ac:dyDescent="0.25">
      <c r="A124" s="4"/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NOTA]]="","",HYPERLINK("[NOTA_.xlsx]NOTA!e"&amp;INDEX([6]!PAJAK[//],MATCH(KENKO[[#This Row],[ID NOTA]],[6]!PAJAK[ID],0)),"&gt;") )</f>
        <v/>
      </c>
      <c r="D124" s="6" t="str">
        <f>IF(KENKO[[#This Row],[ID NOTA]]="","",INDEX(Table1[QB],MATCH(KENKO[[#This Row],[ID NOTA]],Table1[ID],0)))</f>
        <v/>
      </c>
      <c r="E12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4" s="6" t="str">
        <f>IF(KENKO[[#This Row],[NO. NOTA]]="","",INDEX([5]KE!$A:$A,MATCH(KENKO[[#This Row],[NO. NOTA]],[5]KE!$D:$D,0)))</f>
        <v/>
      </c>
      <c r="G124" s="3" t="str">
        <f>IF(KENKO[[#This Row],[ID NOTA]]="","",INDEX([6]!NOTA[TGL_H],MATCH(KENKO[[#This Row],[ID NOTA]],[6]!NOTA[ID],0)))</f>
        <v/>
      </c>
      <c r="H124" s="3" t="str">
        <f>IF(KENKO[[#This Row],[ID NOTA]]="","",INDEX([6]!NOTA[TGL.NOTA],MATCH(KENKO[[#This Row],[ID NOTA]],[6]!NOTA[ID],0)))</f>
        <v/>
      </c>
      <c r="I124" s="19" t="str">
        <f>IF(KENKO[[#This Row],[ID NOTA]]="","",INDEX([6]!NOTA[NO.NOTA],MATCH(KENKO[[#This Row],[ID NOTA]],[6]!NOTA[ID],0)))</f>
        <v/>
      </c>
      <c r="J124" s="4" t="s">
        <v>136</v>
      </c>
      <c r="K124" s="6" t="str">
        <f>""</f>
        <v/>
      </c>
      <c r="L124" s="6" t="str">
        <f ca="1">IF(KENKO[//]="","",IF(INDEX([6]!NOTA[QTY],KENKO[//]-2)="",INDEX([6]!NOTA[C],KENKO[//]-2),INDEX([6]!NOTA[QTY],KENKO[//]-2)))</f>
        <v/>
      </c>
      <c r="M124" s="6" t="str">
        <f ca="1">IF(KENKO[//]="","",IF(INDEX([6]!NOTA[STN],KENKO[//]-2)="","CTN",INDEX([6]!NOTA[STN],KENKO[//]-2)))</f>
        <v/>
      </c>
      <c r="N124" s="5" t="str">
        <f ca="1">IF(KENKO[[#This Row],[//]]="","",IF(INDEX([6]!NOTA[HARGA/ CTN],KENKO[[#This Row],[//]]-2)="",INDEX([6]!NOTA[HARGA SATUAN],KENKO[//]-2),INDEX([6]!NOTA[HARGA/ CTN],KENKO[[#This Row],[//]]-2)))</f>
        <v/>
      </c>
      <c r="O124" s="8" t="str">
        <f ca="1">IF(KENKO[[#This Row],[//]]="","",INDEX([6]!NOTA[DISC 1],KENKO[[#This Row],[//]]-2))</f>
        <v/>
      </c>
      <c r="P124" s="8" t="str">
        <f ca="1">IF(KENKO[[#This Row],[//]]="","",INDEX([6]!NOTA[DISC 2],KENKO[[#This Row],[//]]-2))</f>
        <v/>
      </c>
      <c r="Q124" s="5" t="str">
        <f ca="1">IF(KENKO[[#This Row],[//]]="","",INDEX([6]!NOTA[JUMLAH],KENKO[[#This Row],[//]]-2)*(100%-IF(ISNUMBER(KENKO[[#This Row],[DISC 1 (%)]]),KENKO[[#This Row],[DISC 1 (%)]],0)))</f>
        <v/>
      </c>
      <c r="R1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Row],[//]]="","",INDEX([6]!NOTA[NAMA BARANG],KENKO[[#This Row],[//]]-2))</f>
        <v/>
      </c>
      <c r="V124" s="4" t="str">
        <f ca="1">LOWER(SUBSTITUTE(SUBSTITUTE(SUBSTITUTE(SUBSTITUTE(SUBSTITUTE(SUBSTITUTE(SUBSTITUTE(SUBSTITUTE(KENKO[[#This Row],[N.B.nota]]," ",""),"-",""),"(",""),")",""),".",""),",",""),"/",""),"""",""))</f>
        <v/>
      </c>
      <c r="W124" s="4" t="s">
        <v>136</v>
      </c>
      <c r="X124" s="4" t="str">
        <f ca="1">IF(KENKO[[#This Row],[N.B.nota]]="","",ADDRESS(ROW(KENKO[QB]),COLUMN(KENKO[QB]))&amp;":"&amp;ADDRESS(ROW(),COLUMN(KENKO[QB])))</f>
        <v/>
      </c>
      <c r="Y124" s="22" t="str">
        <f ca="1">IF(KENKO[[#This Row],[//]]="","",HYPERLINK("[..\\DB.xlsx]DB!e"&amp;MATCH(KENKO[[#This Row],[concat]],[4]!db[NB NOTA_C],0)+1,"&gt;"))</f>
        <v/>
      </c>
    </row>
    <row r="125" spans="1:25" x14ac:dyDescent="0.25">
      <c r="A125" s="4" t="s">
        <v>76</v>
      </c>
      <c r="B125" s="6">
        <f ca="1">IF(KENKO[[#This Row],[N_ID]]="","",INDEX(Table1[ID],MATCH(KENKO[[#This Row],[N_ID]],Table1[N_ID],0)))</f>
        <v>98</v>
      </c>
      <c r="C125" s="6" t="str">
        <f ca="1">IF(KENKO[[#This Row],[ID NOTA]]="","",HYPERLINK("[NOTA_.xlsx]NOTA!e"&amp;INDEX([6]!PAJAK[//],MATCH(KENKO[[#This Row],[ID NOTA]],[6]!PAJAK[ID],0)),"&gt;") )</f>
        <v>&gt;</v>
      </c>
      <c r="D125" s="6">
        <f ca="1">IF(KENKO[[#This Row],[ID NOTA]]="","",INDEX(Table1[QB],MATCH(KENKO[[#This Row],[ID NOTA]],Table1[ID],0)))</f>
        <v>2</v>
      </c>
      <c r="E12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500</v>
      </c>
      <c r="F125" s="6" t="e">
        <f ca="1">IF(KENKO[[#This Row],[NO. NOTA]]="","",INDEX([5]KE!$A:$A,MATCH(KENKO[[#This Row],[NO. NOTA]],[5]KE!$D:$D,0)))</f>
        <v>#N/A</v>
      </c>
      <c r="G125" s="3">
        <f ca="1">IF(KENKO[[#This Row],[ID NOTA]]="","",INDEX([6]!NOTA[TGL_H],MATCH(KENKO[[#This Row],[ID NOTA]],[6]!NOTA[ID],0)))</f>
        <v>44760</v>
      </c>
      <c r="H125" s="3">
        <f ca="1">IF(KENKO[[#This Row],[ID NOTA]]="","",INDEX([6]!NOTA[TGL.NOTA],MATCH(KENKO[[#This Row],[ID NOTA]],[6]!NOTA[ID],0)))</f>
        <v>44756</v>
      </c>
      <c r="I125" s="19" t="str">
        <f ca="1">IF(KENKO[[#This Row],[ID NOTA]]="","",INDEX([6]!NOTA[NO.NOTA],MATCH(KENKO[[#This Row],[ID NOTA]],[6]!NOTA[ID],0)))</f>
        <v>22071231</v>
      </c>
      <c r="J125" s="4" t="s">
        <v>207</v>
      </c>
      <c r="K125" s="6" t="str">
        <f>""</f>
        <v/>
      </c>
      <c r="L125" s="6">
        <f ca="1">IF(KENKO[//]="","",IF(INDEX([6]!NOTA[QTY],KENKO[//]-2)="",INDEX([6]!NOTA[C],KENKO[//]-2),INDEX([6]!NOTA[QTY],KENKO[//]-2)))</f>
        <v>10</v>
      </c>
      <c r="M125" s="6" t="str">
        <f ca="1">IF(KENKO[//]="","",IF(INDEX([6]!NOTA[STN],KENKO[//]-2)="","CTN",INDEX([6]!NOTA[STN],KENKO[//]-2)))</f>
        <v>CTN</v>
      </c>
      <c r="N125" s="5">
        <f ca="1">IF(KENKO[[#This Row],[//]]="","",IF(INDEX([6]!NOTA[HARGA/ CTN],KENKO[[#This Row],[//]]-2)="",INDEX([6]!NOTA[HARGA SATUAN],KENKO[//]-2),INDEX([6]!NOTA[HARGA/ CTN],KENKO[[#This Row],[//]]-2)))</f>
        <v>1050000</v>
      </c>
      <c r="O125" s="8">
        <f ca="1">IF(KENKO[[#This Row],[//]]="","",INDEX([6]!NOTA[DISC 1],KENKO[[#This Row],[//]]-2))</f>
        <v>0.17</v>
      </c>
      <c r="P125" s="8">
        <f ca="1">IF(KENKO[[#This Row],[//]]="","",INDEX([6]!NOTA[DISC 2],KENKO[[#This Row],[//]]-2))</f>
        <v>0</v>
      </c>
      <c r="Q125" s="5">
        <f ca="1">IF(KENKO[[#This Row],[//]]="","",INDEX([6]!NOTA[JUMLAH],KENKO[[#This Row],[//]]-2)*(100%-IF(ISNUMBER(KENKO[[#This Row],[DISC 1 (%)]]),KENKO[[#This Row],[DISC 1 (%)]],0)))</f>
        <v>8715000</v>
      </c>
      <c r="R1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Row],[//]]="","",INDEX([6]!NOTA[NAMA BARANG],KENKO[[#This Row],[//]]-2))</f>
        <v>KENKO PRICE LABEL 6001-2R (1 LINE) @ 10 ROL</v>
      </c>
      <c r="V125" s="4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125" s="4" t="s">
        <v>137</v>
      </c>
      <c r="X125" s="4" t="str">
        <f ca="1">IF(KENKO[[#This Row],[N.B.nota]]="","",ADDRESS(ROW(KENKO[QB]),COLUMN(KENKO[QB]))&amp;":"&amp;ADDRESS(ROW(),COLUMN(KENKO[QB])))</f>
        <v>$D$3:$D$125</v>
      </c>
      <c r="Y125" s="22" t="str">
        <f ca="1">IF(KENKO[[#This Row],[//]]="","",HYPERLINK("[..\\DB.xlsx]DB!e"&amp;MATCH(KENKO[[#This Row],[concat]],[4]!db[NB NOTA_C],0)+1,"&gt;"))</f>
        <v>&gt;</v>
      </c>
    </row>
    <row r="126" spans="1:25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NOTA]]="","",HYPERLINK("[NOTA_.xlsx]NOTA!e"&amp;INDEX([6]!PAJAK[//],MATCH(KENKO[[#This Row],[ID NOTA]],[6]!PAJAK[ID],0)),"&gt;")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501</v>
      </c>
      <c r="F126" s="6" t="str">
        <f>IF(KENKO[[#This Row],[NO. NOTA]]="","",INDEX([5]KE!$A:$A,MATCH(KENKO[[#This Row],[NO. NOTA]],[5]KE!$D:$D,0)))</f>
        <v/>
      </c>
      <c r="G126" s="3" t="str">
        <f>IF(KENKO[[#This Row],[ID NOTA]]="","",INDEX([6]!NOTA[TGL_H],MATCH(KENKO[[#This Row],[ID NOTA]],[6]!NOTA[ID],0)))</f>
        <v/>
      </c>
      <c r="H126" s="3" t="str">
        <f>IF(KENKO[[#This Row],[ID NOTA]]="","",INDEX([6]!NOTA[TGL.NOTA],MATCH(KENKO[[#This Row],[ID NOTA]],[6]!NOTA[ID],0)))</f>
        <v/>
      </c>
      <c r="I126" s="19" t="str">
        <f>IF(KENKO[[#This Row],[ID NOTA]]="","",INDEX([6]!NOTA[NO.NOTA],MATCH(KENKO[[#This Row],[ID NOTA]],[6]!NOTA[ID],0)))</f>
        <v/>
      </c>
      <c r="J126" s="4" t="s">
        <v>211</v>
      </c>
      <c r="K126" s="6" t="str">
        <f>""</f>
        <v/>
      </c>
      <c r="L126" s="6">
        <f ca="1">IF(KENKO[//]="","",IF(INDEX([6]!NOTA[QTY],KENKO[//]-2)="",INDEX([6]!NOTA[C],KENKO[//]-2),INDEX([6]!NOTA[QTY],KENKO[//]-2)))</f>
        <v>2</v>
      </c>
      <c r="M126" s="6" t="str">
        <f ca="1">IF(KENKO[//]="","",IF(INDEX([6]!NOTA[STN],KENKO[//]-2)="","CTN",INDEX([6]!NOTA[STN],KENKO[//]-2)))</f>
        <v>CTN</v>
      </c>
      <c r="N126" s="5">
        <f ca="1">IF(KENKO[[#This Row],[//]]="","",IF(INDEX([6]!NOTA[HARGA/ CTN],KENKO[[#This Row],[//]]-2)="",INDEX([6]!NOTA[HARGA SATUAN],KENKO[//]-2),INDEX([6]!NOTA[HARGA/ CTN],KENKO[[#This Row],[//]]-2)))</f>
        <v>2592000</v>
      </c>
      <c r="O126" s="8">
        <f ca="1">IF(KENKO[[#This Row],[//]]="","",INDEX([6]!NOTA[DISC 1],KENKO[[#This Row],[//]]-2))</f>
        <v>0.17</v>
      </c>
      <c r="P126" s="8">
        <f ca="1">IF(KENKO[[#This Row],[//]]="","",INDEX([6]!NOTA[DISC 2],KENKO[[#This Row],[//]]-2))</f>
        <v>0</v>
      </c>
      <c r="Q126" s="5">
        <f ca="1">IF(KENKO[[#This Row],[//]]="","",INDEX([6]!NOTA[JUMLAH],KENKO[[#This Row],[//]]-2)*(100%-IF(ISNUMBER(KENKO[[#This Row],[DISC 1 (%)]]),KENKO[[#This Row],[DISC 1 (%)]],0)))</f>
        <v>4302720</v>
      </c>
      <c r="R12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2666280.0000000005</v>
      </c>
      <c r="S12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13017720</v>
      </c>
      <c r="T12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Row],[//]]="","",INDEX([6]!NOTA[NAMA BARANG],KENKO[[#This Row],[//]]-2))</f>
        <v>KENKO GLUE STICK 15GR (MEDIUM)</v>
      </c>
      <c r="V126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26" s="4" t="s">
        <v>137</v>
      </c>
      <c r="X126" s="4" t="str">
        <f ca="1">IF(KENKO[[#This Row],[N.B.nota]]="","",ADDRESS(ROW(KENKO[QB]),COLUMN(KENKO[QB]))&amp;":"&amp;ADDRESS(ROW(),COLUMN(KENKO[QB])))</f>
        <v>$D$3:$D$126</v>
      </c>
      <c r="Y126" s="22" t="str">
        <f ca="1">IF(KENKO[[#This Row],[//]]="","",HYPERLINK("[..\\DB.xlsx]DB!e"&amp;MATCH(KENKO[[#This Row],[concat]],[4]!db[NB NOTA_C],0)+1,"&gt;"))</f>
        <v>&gt;</v>
      </c>
    </row>
    <row r="127" spans="1:25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NOTA]]="","",HYPERLINK("[NOTA_.xlsx]NOTA!e"&amp;INDEX([6]!PAJAK[//],MATCH(KENKO[[#This Row],[ID NOTA]],[6]!PAJAK[ID],0)),"&gt;") )</f>
        <v/>
      </c>
      <c r="D127" s="6" t="str">
        <f>IF(KENKO[[#This Row],[ID NOTA]]="","",INDEX(Table1[QB],MATCH(KENKO[[#This Row],[ID NOTA]],Table1[ID],0)))</f>
        <v/>
      </c>
      <c r="E12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7" s="6" t="str">
        <f>IF(KENKO[[#This Row],[NO. NOTA]]="","",INDEX([5]KE!$A:$A,MATCH(KENKO[[#This Row],[NO. NOTA]],[5]KE!$D:$D,0)))</f>
        <v/>
      </c>
      <c r="G127" s="3" t="str">
        <f>IF(KENKO[[#This Row],[ID NOTA]]="","",INDEX([6]!NOTA[TGL_H],MATCH(KENKO[[#This Row],[ID NOTA]],[6]!NOTA[ID],0)))</f>
        <v/>
      </c>
      <c r="H127" s="3" t="str">
        <f>IF(KENKO[[#This Row],[ID NOTA]]="","",INDEX([6]!NOTA[TGL.NOTA],MATCH(KENKO[[#This Row],[ID NOTA]],[6]!NOTA[ID],0)))</f>
        <v/>
      </c>
      <c r="I127" s="19" t="str">
        <f>IF(KENKO[[#This Row],[ID NOTA]]="","",INDEX([6]!NOTA[NO.NOTA],MATCH(KENKO[[#This Row],[ID NOTA]],[6]!NOTA[ID],0)))</f>
        <v/>
      </c>
      <c r="J127" s="4" t="s">
        <v>136</v>
      </c>
      <c r="K127" s="6" t="str">
        <f>""</f>
        <v/>
      </c>
      <c r="L127" s="6" t="str">
        <f ca="1">IF(KENKO[//]="","",IF(INDEX([6]!NOTA[QTY],KENKO[//]-2)="",INDEX([6]!NOTA[C],KENKO[//]-2),INDEX([6]!NOTA[QTY],KENKO[//]-2)))</f>
        <v/>
      </c>
      <c r="M127" s="6" t="str">
        <f ca="1">IF(KENKO[//]="","",IF(INDEX([6]!NOTA[STN],KENKO[//]-2)="","CTN",INDEX([6]!NOTA[STN],KENKO[//]-2)))</f>
        <v/>
      </c>
      <c r="N127" s="5" t="str">
        <f ca="1">IF(KENKO[[#This Row],[//]]="","",IF(INDEX([6]!NOTA[HARGA/ CTN],KENKO[[#This Row],[//]]-2)="",INDEX([6]!NOTA[HARGA SATUAN],KENKO[//]-2),INDEX([6]!NOTA[HARGA/ CTN],KENKO[[#This Row],[//]]-2)))</f>
        <v/>
      </c>
      <c r="O127" s="8" t="str">
        <f ca="1">IF(KENKO[[#This Row],[//]]="","",INDEX([6]!NOTA[DISC 1],KENKO[[#This Row],[//]]-2))</f>
        <v/>
      </c>
      <c r="P127" s="8" t="str">
        <f ca="1">IF(KENKO[[#This Row],[//]]="","",INDEX([6]!NOTA[DISC 2],KENKO[[#This Row],[//]]-2))</f>
        <v/>
      </c>
      <c r="Q127" s="5" t="str">
        <f ca="1">IF(KENKO[[#This Row],[//]]="","",INDEX([6]!NOTA[JUMLAH],KENKO[[#This Row],[//]]-2)*(100%-IF(ISNUMBER(KENKO[[#This Row],[DISC 1 (%)]]),KENKO[[#This Row],[DISC 1 (%)]],0)))</f>
        <v/>
      </c>
      <c r="R1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Row],[//]]="","",INDEX([6]!NOTA[NAMA BARANG],KENKO[[#This Row],[//]]-2))</f>
        <v/>
      </c>
      <c r="V127" s="4" t="str">
        <f ca="1">LOWER(SUBSTITUTE(SUBSTITUTE(SUBSTITUTE(SUBSTITUTE(SUBSTITUTE(SUBSTITUTE(SUBSTITUTE(SUBSTITUTE(KENKO[[#This Row],[N.B.nota]]," ",""),"-",""),"(",""),")",""),".",""),",",""),"/",""),"""",""))</f>
        <v/>
      </c>
      <c r="W127" s="4" t="s">
        <v>136</v>
      </c>
      <c r="X127" s="4" t="str">
        <f ca="1">IF(KENKO[[#This Row],[N.B.nota]]="","",ADDRESS(ROW(KENKO[QB]),COLUMN(KENKO[QB]))&amp;":"&amp;ADDRESS(ROW(),COLUMN(KENKO[QB])))</f>
        <v/>
      </c>
      <c r="Y127" s="22" t="str">
        <f ca="1">IF(KENKO[[#This Row],[//]]="","",HYPERLINK("[..\\DB.xlsx]DB!e"&amp;MATCH(KENKO[[#This Row],[concat]],[4]!db[NB NOTA_C],0)+1,"&gt;"))</f>
        <v/>
      </c>
    </row>
    <row r="128" spans="1:25" x14ac:dyDescent="0.25">
      <c r="A128" s="19" t="s">
        <v>84</v>
      </c>
      <c r="B128" s="6">
        <f ca="1">IF(KENKO[[#This Row],[N_ID]]="","",INDEX(Table1[ID],MATCH(KENKO[[#This Row],[N_ID]],Table1[N_ID],0)))</f>
        <v>122</v>
      </c>
      <c r="C128" s="6" t="str">
        <f ca="1">IF(KENKO[[#This Row],[ID NOTA]]="","",HYPERLINK("[NOTA_.xlsx]NOTA!e"&amp;INDEX([6]!PAJAK[//],MATCH(KENKO[[#This Row],[ID NOTA]],[6]!PAJAK[ID],0)),"&gt;") )</f>
        <v>&gt;</v>
      </c>
      <c r="D128" s="6">
        <f ca="1">IF(KENKO[[#This Row],[ID NOTA]]="","",INDEX(Table1[QB],MATCH(KENKO[[#This Row],[ID NOTA]],Table1[ID],0)))</f>
        <v>11</v>
      </c>
      <c r="E12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633</v>
      </c>
      <c r="F128" s="6" t="e">
        <f ca="1">IF(KENKO[[#This Row],[NO. NOTA]]="","",INDEX([5]KE!$A:$A,MATCH(KENKO[[#This Row],[NO. NOTA]],[5]KE!$D:$D,0)))</f>
        <v>#N/A</v>
      </c>
      <c r="G128" s="3">
        <f ca="1">IF(KENKO[[#This Row],[ID NOTA]]="","",INDEX([6]!NOTA[TGL_H],MATCH(KENKO[[#This Row],[ID NOTA]],[6]!NOTA[ID],0)))</f>
        <v>44762</v>
      </c>
      <c r="H128" s="3">
        <f ca="1">IF(KENKO[[#This Row],[ID NOTA]]="","",INDEX([6]!NOTA[TGL.NOTA],MATCH(KENKO[[#This Row],[ID NOTA]],[6]!NOTA[ID],0)))</f>
        <v>44757</v>
      </c>
      <c r="I128" s="19" t="str">
        <f ca="1">IF(KENKO[[#This Row],[ID NOTA]]="","",INDEX([6]!NOTA[NO.NOTA],MATCH(KENKO[[#This Row],[ID NOTA]],[6]!NOTA[ID],0)))</f>
        <v>22071356</v>
      </c>
      <c r="J128" s="4" t="s">
        <v>167</v>
      </c>
      <c r="K128" s="6" t="str">
        <f>""</f>
        <v/>
      </c>
      <c r="L128" s="6">
        <f ca="1">IF(KENKO[//]="","",IF(INDEX([6]!NOTA[QTY],KENKO[//]-2)="",INDEX([6]!NOTA[C],KENKO[//]-2),INDEX([6]!NOTA[QTY],KENKO[//]-2)))</f>
        <v>5</v>
      </c>
      <c r="M128" s="6" t="str">
        <f ca="1">IF(KENKO[//]="","",IF(INDEX([6]!NOTA[STN],KENKO[//]-2)="","CTN",INDEX([6]!NOTA[STN],KENKO[//]-2)))</f>
        <v>CTN</v>
      </c>
      <c r="N128" s="5">
        <f ca="1">IF(KENKO[[#This Row],[//]]="","",IF(INDEX([6]!NOTA[HARGA/ CTN],KENKO[[#This Row],[//]]-2)="",INDEX([6]!NOTA[HARGA SATUAN],KENKO[//]-2),INDEX([6]!NOTA[HARGA/ CTN],KENKO[[#This Row],[//]]-2)))</f>
        <v>1900800</v>
      </c>
      <c r="O128" s="8">
        <f ca="1">IF(KENKO[[#This Row],[//]]="","",INDEX([6]!NOTA[DISC 1],KENKO[[#This Row],[//]]-2))</f>
        <v>0.17</v>
      </c>
      <c r="P128" s="8">
        <f ca="1">IF(KENKO[[#This Row],[//]]="","",INDEX([6]!NOTA[DISC 2],KENKO[[#This Row],[//]]-2))</f>
        <v>0</v>
      </c>
      <c r="Q128" s="5">
        <f ca="1">IF(KENKO[[#This Row],[//]]="","",INDEX([6]!NOTA[JUMLAH],KENKO[[#This Row],[//]]-2)*(100%-IF(ISNUMBER(KENKO[[#This Row],[DISC 1 (%)]]),KENKO[[#This Row],[DISC 1 (%)]],0)))</f>
        <v>7888320</v>
      </c>
      <c r="R1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Row],[//]]="","",INDEX([6]!NOTA[NAMA BARANG],KENKO[[#This Row],[//]]-2))</f>
        <v>KENKO CORRECTION FLUID KE-01</v>
      </c>
      <c r="V128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28" s="4" t="s">
        <v>137</v>
      </c>
      <c r="X128" s="4" t="str">
        <f ca="1">IF(KENKO[[#This Row],[N.B.nota]]="","",ADDRESS(ROW(KENKO[QB]),COLUMN(KENKO[QB]))&amp;":"&amp;ADDRESS(ROW(),COLUMN(KENKO[QB])))</f>
        <v>$D$3:$D$128</v>
      </c>
      <c r="Y128" s="22" t="str">
        <f ca="1">IF(KENKO[[#This Row],[//]]="","",HYPERLINK("[..\\DB.xlsx]DB!e"&amp;MATCH(KENKO[[#This Row],[concat]],[4]!db[NB NOTA_C],0)+1,"&gt;"))</f>
        <v>&gt;</v>
      </c>
    </row>
    <row r="129" spans="1:25" x14ac:dyDescent="0.25">
      <c r="A129" s="19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NOTA]]="","",HYPERLINK("[NOTA_.xlsx]NOTA!e"&amp;INDEX([6]!PAJAK[//],MATCH(KENKO[[#This Row],[ID NOTA]],[6]!PAJAK[ID],0)),"&gt;")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634</v>
      </c>
      <c r="F129" s="6" t="str">
        <f>IF(KENKO[[#This Row],[NO. NOTA]]="","",INDEX([5]KE!$A:$A,MATCH(KENKO[[#This Row],[NO. NOTA]],[5]KE!$D:$D,0)))</f>
        <v/>
      </c>
      <c r="G129" s="3" t="str">
        <f>IF(KENKO[[#This Row],[ID NOTA]]="","",INDEX([6]!NOTA[TGL_H],MATCH(KENKO[[#This Row],[ID NOTA]],[6]!NOTA[ID],0)))</f>
        <v/>
      </c>
      <c r="H129" s="3" t="str">
        <f>IF(KENKO[[#This Row],[ID NOTA]]="","",INDEX([6]!NOTA[TGL.NOTA],MATCH(KENKO[[#This Row],[ID NOTA]],[6]!NOTA[ID],0)))</f>
        <v/>
      </c>
      <c r="I129" s="19" t="str">
        <f>IF(KENKO[[#This Row],[ID NOTA]]="","",INDEX([6]!NOTA[NO.NOTA],MATCH(KENKO[[#This Row],[ID NOTA]],[6]!NOTA[ID],0)))</f>
        <v/>
      </c>
      <c r="J129" s="4" t="s">
        <v>225</v>
      </c>
      <c r="K129" s="6" t="str">
        <f>""</f>
        <v/>
      </c>
      <c r="L129" s="6">
        <f ca="1">IF(KENKO[//]="","",IF(INDEX([6]!NOTA[QTY],KENKO[//]-2)="",INDEX([6]!NOTA[C],KENKO[//]-2),INDEX([6]!NOTA[QTY],KENKO[//]-2)))</f>
        <v>2</v>
      </c>
      <c r="M129" s="6" t="str">
        <f ca="1">IF(KENKO[//]="","",IF(INDEX([6]!NOTA[STN],KENKO[//]-2)="","CTN",INDEX([6]!NOTA[STN],KENKO[//]-2)))</f>
        <v>CTN</v>
      </c>
      <c r="N129" s="5">
        <f ca="1">IF(KENKO[[#This Row],[//]]="","",IF(INDEX([6]!NOTA[HARGA/ CTN],KENKO[[#This Row],[//]]-2)="",INDEX([6]!NOTA[HARGA SATUAN],KENKO[//]-2),INDEX([6]!NOTA[HARGA/ CTN],KENKO[[#This Row],[//]]-2)))</f>
        <v>1998000</v>
      </c>
      <c r="O129" s="8">
        <f ca="1">IF(KENKO[[#This Row],[//]]="","",INDEX([6]!NOTA[DISC 1],KENKO[[#This Row],[//]]-2))</f>
        <v>0.17</v>
      </c>
      <c r="P129" s="8">
        <f ca="1">IF(KENKO[[#This Row],[//]]="","",INDEX([6]!NOTA[DISC 2],KENKO[[#This Row],[//]]-2))</f>
        <v>0</v>
      </c>
      <c r="Q129" s="5">
        <f ca="1">IF(KENKO[[#This Row],[//]]="","",INDEX([6]!NOTA[JUMLAH],KENKO[[#This Row],[//]]-2)*(100%-IF(ISNUMBER(KENKO[[#This Row],[DISC 1 (%)]]),KENKO[[#This Row],[DISC 1 (%)]],0)))</f>
        <v>3316680</v>
      </c>
      <c r="R12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Row],[//]]="","",INDEX([6]!NOTA[NAMA BARANG],KENKO[[#This Row],[//]]-2))</f>
        <v>KENKO CORRECTION FLUID KE-823M</v>
      </c>
      <c r="V129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29" s="4" t="s">
        <v>137</v>
      </c>
      <c r="X129" s="4" t="str">
        <f ca="1">IF(KENKO[[#This Row],[N.B.nota]]="","",ADDRESS(ROW(KENKO[QB]),COLUMN(KENKO[QB]))&amp;":"&amp;ADDRESS(ROW(),COLUMN(KENKO[QB])))</f>
        <v>$D$3:$D$129</v>
      </c>
      <c r="Y129" s="22" t="str">
        <f ca="1">IF(KENKO[[#This Row],[//]]="","",HYPERLINK("[..\\DB.xlsx]DB!e"&amp;MATCH(KENKO[[#This Row],[concat]],[4]!db[NB NOTA_C],0)+1,"&gt;"))</f>
        <v>&gt;</v>
      </c>
    </row>
    <row r="130" spans="1:25" x14ac:dyDescent="0.25">
      <c r="A130" s="19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NOTA]]="","",HYPERLINK("[NOTA_.xlsx]NOTA!e"&amp;INDEX([6]!PAJAK[//],MATCH(KENKO[[#This Row],[ID NOTA]],[6]!PAJAK[ID],0)),"&gt;")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635</v>
      </c>
      <c r="F130" s="6" t="str">
        <f>IF(KENKO[[#This Row],[NO. NOTA]]="","",INDEX([5]KE!$A:$A,MATCH(KENKO[[#This Row],[NO. NOTA]],[5]KE!$D:$D,0)))</f>
        <v/>
      </c>
      <c r="G130" s="3" t="str">
        <f>IF(KENKO[[#This Row],[ID NOTA]]="","",INDEX([6]!NOTA[TGL_H],MATCH(KENKO[[#This Row],[ID NOTA]],[6]!NOTA[ID],0)))</f>
        <v/>
      </c>
      <c r="H130" s="3" t="str">
        <f>IF(KENKO[[#This Row],[ID NOTA]]="","",INDEX([6]!NOTA[TGL.NOTA],MATCH(KENKO[[#This Row],[ID NOTA]],[6]!NOTA[ID],0)))</f>
        <v/>
      </c>
      <c r="I130" s="19" t="str">
        <f>IF(KENKO[[#This Row],[ID NOTA]]="","",INDEX([6]!NOTA[NO.NOTA],MATCH(KENKO[[#This Row],[ID NOTA]],[6]!NOTA[ID],0)))</f>
        <v/>
      </c>
      <c r="J130" s="4" t="s">
        <v>208</v>
      </c>
      <c r="K130" s="6" t="str">
        <f>""</f>
        <v/>
      </c>
      <c r="L130" s="6">
        <f ca="1">IF(KENKO[//]="","",IF(INDEX([6]!NOTA[QTY],KENKO[//]-2)="",INDEX([6]!NOTA[C],KENKO[//]-2),INDEX([6]!NOTA[QTY],KENKO[//]-2)))</f>
        <v>1</v>
      </c>
      <c r="M130" s="6" t="str">
        <f ca="1">IF(KENKO[//]="","",IF(INDEX([6]!NOTA[STN],KENKO[//]-2)="","CTN",INDEX([6]!NOTA[STN],KENKO[//]-2)))</f>
        <v>CTN</v>
      </c>
      <c r="N130" s="5">
        <f ca="1">IF(KENKO[[#This Row],[//]]="","",IF(INDEX([6]!NOTA[HARGA/ CTN],KENKO[[#This Row],[//]]-2)="",INDEX([6]!NOTA[HARGA SATUAN],KENKO[//]-2),INDEX([6]!NOTA[HARGA/ CTN],KENKO[[#This Row],[//]]-2)))</f>
        <v>2208000</v>
      </c>
      <c r="O130" s="8">
        <f ca="1">IF(KENKO[[#This Row],[//]]="","",INDEX([6]!NOTA[DISC 1],KENKO[[#This Row],[//]]-2))</f>
        <v>0.17</v>
      </c>
      <c r="P130" s="8">
        <f ca="1">IF(KENKO[[#This Row],[//]]="","",INDEX([6]!NOTA[DISC 2],KENKO[[#This Row],[//]]-2))</f>
        <v>0</v>
      </c>
      <c r="Q130" s="5">
        <f ca="1">IF(KENKO[[#This Row],[//]]="","",INDEX([6]!NOTA[JUMLAH],KENKO[[#This Row],[//]]-2)*(100%-IF(ISNUMBER(KENKO[[#This Row],[DISC 1 (%)]]),KENKO[[#This Row],[DISC 1 (%)]],0)))</f>
        <v>1832640</v>
      </c>
      <c r="R1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Row],[//]]="","",INDEX([6]!NOTA[NAMA BARANG],KENKO[[#This Row],[//]]-2))</f>
        <v>KENKO PENCIL 2B-6181 BIRU CAP HITAM</v>
      </c>
      <c r="V130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0" s="4" t="s">
        <v>137</v>
      </c>
      <c r="X130" s="4" t="str">
        <f ca="1">IF(KENKO[[#This Row],[N.B.nota]]="","",ADDRESS(ROW(KENKO[QB]),COLUMN(KENKO[QB]))&amp;":"&amp;ADDRESS(ROW(),COLUMN(KENKO[QB])))</f>
        <v>$D$3:$D$130</v>
      </c>
      <c r="Y130" s="22" t="str">
        <f ca="1">IF(KENKO[[#This Row],[//]]="","",HYPERLINK("[..\\DB.xlsx]DB!e"&amp;MATCH(KENKO[[#This Row],[concat]],[4]!db[NB NOTA_C],0)+1,"&gt;"))</f>
        <v>&gt;</v>
      </c>
    </row>
    <row r="131" spans="1:25" x14ac:dyDescent="0.25">
      <c r="A131" s="19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NOTA]]="","",HYPERLINK("[NOTA_.xlsx]NOTA!e"&amp;INDEX([6]!PAJAK[//],MATCH(KENKO[[#This Row],[ID NOTA]],[6]!PAJAK[ID],0)),"&gt;")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636</v>
      </c>
      <c r="F131" s="6" t="str">
        <f>IF(KENKO[[#This Row],[NO. NOTA]]="","",INDEX([5]KE!$A:$A,MATCH(KENKO[[#This Row],[NO. NOTA]],[5]KE!$D:$D,0)))</f>
        <v/>
      </c>
      <c r="G131" s="3" t="str">
        <f>IF(KENKO[[#This Row],[ID NOTA]]="","",INDEX([6]!NOTA[TGL_H],MATCH(KENKO[[#This Row],[ID NOTA]],[6]!NOTA[ID],0)))</f>
        <v/>
      </c>
      <c r="H131" s="3" t="str">
        <f>IF(KENKO[[#This Row],[ID NOTA]]="","",INDEX([6]!NOTA[TGL.NOTA],MATCH(KENKO[[#This Row],[ID NOTA]],[6]!NOTA[ID],0)))</f>
        <v/>
      </c>
      <c r="I131" s="19" t="str">
        <f>IF(KENKO[[#This Row],[ID NOTA]]="","",INDEX([6]!NOTA[NO.NOTA],MATCH(KENKO[[#This Row],[ID NOTA]],[6]!NOTA[ID],0)))</f>
        <v/>
      </c>
      <c r="J131" s="4" t="s">
        <v>209</v>
      </c>
      <c r="K131" s="6" t="str">
        <f>""</f>
        <v/>
      </c>
      <c r="L131" s="6">
        <f ca="1">IF(KENKO[//]="","",IF(INDEX([6]!NOTA[QTY],KENKO[//]-2)="",INDEX([6]!NOTA[C],KENKO[//]-2),INDEX([6]!NOTA[QTY],KENKO[//]-2)))</f>
        <v>1</v>
      </c>
      <c r="M131" s="6" t="str">
        <f ca="1">IF(KENKO[//]="","",IF(INDEX([6]!NOTA[STN],KENKO[//]-2)="","CTN",INDEX([6]!NOTA[STN],KENKO[//]-2)))</f>
        <v>CTN</v>
      </c>
      <c r="N131" s="5">
        <f ca="1">IF(KENKO[[#This Row],[//]]="","",IF(INDEX([6]!NOTA[HARGA/ CTN],KENKO[[#This Row],[//]]-2)="",INDEX([6]!NOTA[HARGA SATUAN],KENKO[//]-2),INDEX([6]!NOTA[HARGA/ CTN],KENKO[[#This Row],[//]]-2)))</f>
        <v>2208000</v>
      </c>
      <c r="O131" s="8">
        <f ca="1">IF(KENKO[[#This Row],[//]]="","",INDEX([6]!NOTA[DISC 1],KENKO[[#This Row],[//]]-2))</f>
        <v>0.17</v>
      </c>
      <c r="P131" s="8">
        <f ca="1">IF(KENKO[[#This Row],[//]]="","",INDEX([6]!NOTA[DISC 2],KENKO[[#This Row],[//]]-2))</f>
        <v>0</v>
      </c>
      <c r="Q131" s="5">
        <f ca="1">IF(KENKO[[#This Row],[//]]="","",INDEX([6]!NOTA[JUMLAH],KENKO[[#This Row],[//]]-2)*(100%-IF(ISNUMBER(KENKO[[#This Row],[DISC 1 (%)]]),KENKO[[#This Row],[DISC 1 (%)]],0)))</f>
        <v>1832640</v>
      </c>
      <c r="R1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Row],[//]]="","",INDEX([6]!NOTA[NAMA BARANG],KENKO[[#This Row],[//]]-2))</f>
        <v>KENKO PENCIL 2B-6191 HIJAU CAP HITAM</v>
      </c>
      <c r="V131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1" s="4" t="s">
        <v>137</v>
      </c>
      <c r="X131" s="4" t="str">
        <f ca="1">IF(KENKO[[#This Row],[N.B.nota]]="","",ADDRESS(ROW(KENKO[QB]),COLUMN(KENKO[QB]))&amp;":"&amp;ADDRESS(ROW(),COLUMN(KENKO[QB])))</f>
        <v>$D$3:$D$131</v>
      </c>
      <c r="Y131" s="22" t="str">
        <f ca="1">IF(KENKO[[#This Row],[//]]="","",HYPERLINK("[..\\DB.xlsx]DB!e"&amp;MATCH(KENKO[[#This Row],[concat]],[4]!db[NB NOTA_C],0)+1,"&gt;"))</f>
        <v>&gt;</v>
      </c>
    </row>
    <row r="132" spans="1:25" x14ac:dyDescent="0.25">
      <c r="A132" s="19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NOTA]]="","",HYPERLINK("[NOTA_.xlsx]NOTA!e"&amp;INDEX([6]!PAJAK[//],MATCH(KENKO[[#This Row],[ID NOTA]],[6]!PAJAK[ID],0)),"&gt;") )</f>
        <v/>
      </c>
      <c r="D132" s="6" t="str">
        <f>IF(KENKO[[#This Row],[ID NOTA]]="","",INDEX(Table1[QB],MATCH(KENKO[[#This Row],[ID NOTA]],Table1[ID],0)))</f>
        <v/>
      </c>
      <c r="E13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637</v>
      </c>
      <c r="F132" s="6" t="str">
        <f>IF(KENKO[[#This Row],[NO. NOTA]]="","",INDEX([5]KE!$A:$A,MATCH(KENKO[[#This Row],[NO. NOTA]],[5]KE!$D:$D,0)))</f>
        <v/>
      </c>
      <c r="G132" s="3" t="str">
        <f>IF(KENKO[[#This Row],[ID NOTA]]="","",INDEX([6]!NOTA[TGL_H],MATCH(KENKO[[#This Row],[ID NOTA]],[6]!NOTA[ID],0)))</f>
        <v/>
      </c>
      <c r="H132" s="3" t="str">
        <f>IF(KENKO[[#This Row],[ID NOTA]]="","",INDEX([6]!NOTA[TGL.NOTA],MATCH(KENKO[[#This Row],[ID NOTA]],[6]!NOTA[ID],0)))</f>
        <v/>
      </c>
      <c r="I132" s="19" t="str">
        <f>IF(KENKO[[#This Row],[ID NOTA]]="","",INDEX([6]!NOTA[NO.NOTA],MATCH(KENKO[[#This Row],[ID NOTA]],[6]!NOTA[ID],0)))</f>
        <v/>
      </c>
      <c r="J132" s="4" t="s">
        <v>226</v>
      </c>
      <c r="K132" s="6" t="str">
        <f>""</f>
        <v/>
      </c>
      <c r="L132" s="6">
        <f ca="1">IF(KENKO[//]="","",IF(INDEX([6]!NOTA[QTY],KENKO[//]-2)="",INDEX([6]!NOTA[C],KENKO[//]-2),INDEX([6]!NOTA[QTY],KENKO[//]-2)))</f>
        <v>4</v>
      </c>
      <c r="M132" s="6" t="str">
        <f ca="1">IF(KENKO[//]="","",IF(INDEX([6]!NOTA[STN],KENKO[//]-2)="","CTN",INDEX([6]!NOTA[STN],KENKO[//]-2)))</f>
        <v>CTN</v>
      </c>
      <c r="N132" s="5">
        <f ca="1">IF(KENKO[[#This Row],[//]]="","",IF(INDEX([6]!NOTA[HARGA/ CTN],KENKO[[#This Row],[//]]-2)="",INDEX([6]!NOTA[HARGA SATUAN],KENKO[//]-2),INDEX([6]!NOTA[HARGA/ CTN],KENKO[[#This Row],[//]]-2)))</f>
        <v>2764800</v>
      </c>
      <c r="O132" s="8">
        <f ca="1">IF(KENKO[[#This Row],[//]]="","",INDEX([6]!NOTA[DISC 1],KENKO[[#This Row],[//]]-2))</f>
        <v>0.17</v>
      </c>
      <c r="P132" s="8">
        <f ca="1">IF(KENKO[[#This Row],[//]]="","",INDEX([6]!NOTA[DISC 2],KENKO[[#This Row],[//]]-2))</f>
        <v>0</v>
      </c>
      <c r="Q132" s="5">
        <f ca="1">IF(KENKO[[#This Row],[//]]="","",INDEX([6]!NOTA[JUMLAH],KENKO[[#This Row],[//]]-2)*(100%-IF(ISNUMBER(KENKO[[#This Row],[DISC 1 (%)]]),KENKO[[#This Row],[DISC 1 (%)]],0)))</f>
        <v>9179136</v>
      </c>
      <c r="R1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Row],[//]]="","",INDEX([6]!NOTA[NAMA BARANG],KENKO[[#This Row],[//]]-2))</f>
        <v>KENKO GEL PEN KE-100 BLACK</v>
      </c>
      <c r="V132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32" s="4" t="s">
        <v>137</v>
      </c>
      <c r="X132" s="4" t="str">
        <f ca="1">IF(KENKO[[#This Row],[N.B.nota]]="","",ADDRESS(ROW(KENKO[QB]),COLUMN(KENKO[QB]))&amp;":"&amp;ADDRESS(ROW(),COLUMN(KENKO[QB])))</f>
        <v>$D$3:$D$132</v>
      </c>
      <c r="Y132" s="22" t="str">
        <f ca="1">IF(KENKO[[#This Row],[//]]="","",HYPERLINK("[..\\DB.xlsx]DB!e"&amp;MATCH(KENKO[[#This Row],[concat]],[4]!db[NB NOTA_C],0)+1,"&gt;"))</f>
        <v>&gt;</v>
      </c>
    </row>
    <row r="133" spans="1:25" x14ac:dyDescent="0.25">
      <c r="A133" s="19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NOTA]]="","",HYPERLINK("[NOTA_.xlsx]NOTA!e"&amp;INDEX([6]!PAJAK[//],MATCH(KENKO[[#This Row],[ID NOTA]],[6]!PAJAK[ID],0)),"&gt;") )</f>
        <v/>
      </c>
      <c r="D133" s="6" t="str">
        <f>IF(KENKO[[#This Row],[ID NOTA]]="","",INDEX(Table1[QB],MATCH(KENKO[[#This Row],[ID NOTA]],Table1[ID],0)))</f>
        <v/>
      </c>
      <c r="E13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638</v>
      </c>
      <c r="F133" s="6" t="str">
        <f>IF(KENKO[[#This Row],[NO. NOTA]]="","",INDEX([5]KE!$A:$A,MATCH(KENKO[[#This Row],[NO. NOTA]],[5]KE!$D:$D,0)))</f>
        <v/>
      </c>
      <c r="G133" s="3" t="str">
        <f>IF(KENKO[[#This Row],[ID NOTA]]="","",INDEX([6]!NOTA[TGL_H],MATCH(KENKO[[#This Row],[ID NOTA]],[6]!NOTA[ID],0)))</f>
        <v/>
      </c>
      <c r="H133" s="3" t="str">
        <f>IF(KENKO[[#This Row],[ID NOTA]]="","",INDEX([6]!NOTA[TGL.NOTA],MATCH(KENKO[[#This Row],[ID NOTA]],[6]!NOTA[ID],0)))</f>
        <v/>
      </c>
      <c r="I133" s="19" t="str">
        <f>IF(KENKO[[#This Row],[ID NOTA]]="","",INDEX([6]!NOTA[NO.NOTA],MATCH(KENKO[[#This Row],[ID NOTA]],[6]!NOTA[ID],0)))</f>
        <v/>
      </c>
      <c r="J133" s="4" t="s">
        <v>227</v>
      </c>
      <c r="K133" s="6" t="str">
        <f>""</f>
        <v/>
      </c>
      <c r="L133" s="6">
        <f ca="1">IF(KENKO[//]="","",IF(INDEX([6]!NOTA[QTY],KENKO[//]-2)="",INDEX([6]!NOTA[C],KENKO[//]-2),INDEX([6]!NOTA[QTY],KENKO[//]-2)))</f>
        <v>2</v>
      </c>
      <c r="M133" s="6" t="str">
        <f ca="1">IF(KENKO[//]="","",IF(INDEX([6]!NOTA[STN],KENKO[//]-2)="","CTN",INDEX([6]!NOTA[STN],KENKO[//]-2)))</f>
        <v>CTN</v>
      </c>
      <c r="N133" s="5">
        <f ca="1">IF(KENKO[[#This Row],[//]]="","",IF(INDEX([6]!NOTA[HARGA/ CTN],KENKO[[#This Row],[//]]-2)="",INDEX([6]!NOTA[HARGA SATUAN],KENKO[//]-2),INDEX([6]!NOTA[HARGA/ CTN],KENKO[[#This Row],[//]]-2)))</f>
        <v>5616000</v>
      </c>
      <c r="O133" s="8">
        <f ca="1">IF(KENKO[[#This Row],[//]]="","",INDEX([6]!NOTA[DISC 1],KENKO[[#This Row],[//]]-2))</f>
        <v>0.17</v>
      </c>
      <c r="P133" s="8">
        <f ca="1">IF(KENKO[[#This Row],[//]]="","",INDEX([6]!NOTA[DISC 2],KENKO[[#This Row],[//]]-2))</f>
        <v>0</v>
      </c>
      <c r="Q133" s="5">
        <f ca="1">IF(KENKO[[#This Row],[//]]="","",INDEX([6]!NOTA[JUMLAH],KENKO[[#This Row],[//]]-2)*(100%-IF(ISNUMBER(KENKO[[#This Row],[DISC 1 (%)]]),KENKO[[#This Row],[DISC 1 (%)]],0)))</f>
        <v>9322560</v>
      </c>
      <c r="R1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Row],[//]]="","",INDEX([6]!NOTA[NAMA BARANG],KENKO[[#This Row],[//]]-2))</f>
        <v>KENKO GEL PEN KS-97 SIGN PEN BLACK</v>
      </c>
      <c r="V133" s="4" t="str">
        <f ca="1">LOWER(SUBSTITUTE(SUBSTITUTE(SUBSTITUTE(SUBSTITUTE(SUBSTITUTE(SUBSTITUTE(SUBSTITUTE(SUBSTITUTE(KENKO[[#This Row],[N.B.nota]]," ",""),"-",""),"(",""),")",""),".",""),",",""),"/",""),"""",""))</f>
        <v>kenkogelpenks97signpenblack</v>
      </c>
      <c r="W133" s="4" t="s">
        <v>137</v>
      </c>
      <c r="X133" s="4" t="str">
        <f ca="1">IF(KENKO[[#This Row],[N.B.nota]]="","",ADDRESS(ROW(KENKO[QB]),COLUMN(KENKO[QB]))&amp;":"&amp;ADDRESS(ROW(),COLUMN(KENKO[QB])))</f>
        <v>$D$3:$D$133</v>
      </c>
      <c r="Y133" s="22" t="str">
        <f ca="1">IF(KENKO[[#This Row],[//]]="","",HYPERLINK("[..\\DB.xlsx]DB!e"&amp;MATCH(KENKO[[#This Row],[concat]],[4]!db[NB NOTA_C],0)+1,"&gt;"))</f>
        <v>&gt;</v>
      </c>
    </row>
    <row r="134" spans="1:25" x14ac:dyDescent="0.25">
      <c r="A134" s="19"/>
      <c r="B134" s="6" t="str">
        <f>IF(KENKO[[#This Row],[N_ID]]="","",INDEX(Table1[ID],MATCH(KENKO[[#This Row],[N_ID]],Table1[N_ID],0)))</f>
        <v/>
      </c>
      <c r="C134" s="6" t="str">
        <f>IF(KENKO[[#This Row],[ID NOTA]]="","",HYPERLINK("[NOTA_.xlsx]NOTA!e"&amp;INDEX([6]!PAJAK[//],MATCH(KENKO[[#This Row],[ID NOTA]],[6]!PAJAK[ID],0)),"&gt;") )</f>
        <v/>
      </c>
      <c r="D134" s="6" t="str">
        <f>IF(KENKO[[#This Row],[ID NOTA]]="","",INDEX(Table1[QB],MATCH(KENKO[[#This Row],[ID NOTA]],Table1[ID],0)))</f>
        <v/>
      </c>
      <c r="E13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639</v>
      </c>
      <c r="F134" s="6" t="str">
        <f>IF(KENKO[[#This Row],[NO. NOTA]]="","",INDEX([5]KE!$A:$A,MATCH(KENKO[[#This Row],[NO. NOTA]],[5]KE!$D:$D,0)))</f>
        <v/>
      </c>
      <c r="G134" s="3" t="str">
        <f>IF(KENKO[[#This Row],[ID NOTA]]="","",INDEX([6]!NOTA[TGL_H],MATCH(KENKO[[#This Row],[ID NOTA]],[6]!NOTA[ID],0)))</f>
        <v/>
      </c>
      <c r="H134" s="3" t="str">
        <f>IF(KENKO[[#This Row],[ID NOTA]]="","",INDEX([6]!NOTA[TGL.NOTA],MATCH(KENKO[[#This Row],[ID NOTA]],[6]!NOTA[ID],0)))</f>
        <v/>
      </c>
      <c r="I134" s="19" t="str">
        <f>IF(KENKO[[#This Row],[ID NOTA]]="","",INDEX([6]!NOTA[NO.NOTA],MATCH(KENKO[[#This Row],[ID NOTA]],[6]!NOTA[ID],0)))</f>
        <v/>
      </c>
      <c r="J134" s="4" t="s">
        <v>175</v>
      </c>
      <c r="K134" s="6" t="str">
        <f>""</f>
        <v/>
      </c>
      <c r="L134" s="6">
        <f ca="1">IF(KENKO[//]="","",IF(INDEX([6]!NOTA[QTY],KENKO[//]-2)="",INDEX([6]!NOTA[C],KENKO[//]-2),INDEX([6]!NOTA[QTY],KENKO[//]-2)))</f>
        <v>1</v>
      </c>
      <c r="M134" s="6" t="str">
        <f ca="1">IF(KENKO[//]="","",IF(INDEX([6]!NOTA[STN],KENKO[//]-2)="","CTN",INDEX([6]!NOTA[STN],KENKO[//]-2)))</f>
        <v>CTN</v>
      </c>
      <c r="N134" s="5">
        <f ca="1">IF(KENKO[[#This Row],[//]]="","",IF(INDEX([6]!NOTA[HARGA/ CTN],KENKO[[#This Row],[//]]-2)="",INDEX([6]!NOTA[HARGA SATUAN],KENKO[//]-2),INDEX([6]!NOTA[HARGA/ CTN],KENKO[[#This Row],[//]]-2)))</f>
        <v>5443200</v>
      </c>
      <c r="O134" s="8">
        <f ca="1">IF(KENKO[[#This Row],[//]]="","",INDEX([6]!NOTA[DISC 1],KENKO[[#This Row],[//]]-2))</f>
        <v>0.17</v>
      </c>
      <c r="P134" s="8">
        <f ca="1">IF(KENKO[[#This Row],[//]]="","",INDEX([6]!NOTA[DISC 2],KENKO[[#This Row],[//]]-2))</f>
        <v>0</v>
      </c>
      <c r="Q134" s="5">
        <f ca="1">IF(KENKO[[#This Row],[//]]="","",INDEX([6]!NOTA[JUMLAH],KENKO[[#This Row],[//]]-2)*(100%-IF(ISNUMBER(KENKO[[#This Row],[DISC 1 (%)]]),KENKO[[#This Row],[DISC 1 (%)]],0)))</f>
        <v>4517856</v>
      </c>
      <c r="R1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Row],[//]]="","",INDEX([6]!NOTA[NAMA BARANG],KENKO[[#This Row],[//]]-2))</f>
        <v>KENKO GEL PEN K-1 BLACK</v>
      </c>
      <c r="V134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34" s="4" t="s">
        <v>137</v>
      </c>
      <c r="X134" s="4" t="str">
        <f ca="1">IF(KENKO[[#This Row],[N.B.nota]]="","",ADDRESS(ROW(KENKO[QB]),COLUMN(KENKO[QB]))&amp;":"&amp;ADDRESS(ROW(),COLUMN(KENKO[QB])))</f>
        <v>$D$3:$D$134</v>
      </c>
      <c r="Y134" s="22" t="str">
        <f ca="1">IF(KENKO[[#This Row],[//]]="","",HYPERLINK("[..\\DB.xlsx]DB!e"&amp;MATCH(KENKO[[#This Row],[concat]],[4]!db[NB NOTA_C],0)+1,"&gt;"))</f>
        <v>&gt;</v>
      </c>
    </row>
    <row r="135" spans="1:25" x14ac:dyDescent="0.25">
      <c r="A135" s="19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NOTA]]="","",HYPERLINK("[NOTA_.xlsx]NOTA!e"&amp;INDEX([6]!PAJAK[//],MATCH(KENKO[[#This Row],[ID NOTA]],[6]!PAJAK[ID],0)),"&gt;")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640</v>
      </c>
      <c r="F135" s="6" t="str">
        <f>IF(KENKO[[#This Row],[NO. NOTA]]="","",INDEX([5]KE!$A:$A,MATCH(KENKO[[#This Row],[NO. NOTA]],[5]KE!$D:$D,0)))</f>
        <v/>
      </c>
      <c r="G135" s="3" t="str">
        <f>IF(KENKO[[#This Row],[ID NOTA]]="","",INDEX([6]!NOTA[TGL_H],MATCH(KENKO[[#This Row],[ID NOTA]],[6]!NOTA[ID],0)))</f>
        <v/>
      </c>
      <c r="H135" s="3" t="str">
        <f>IF(KENKO[[#This Row],[ID NOTA]]="","",INDEX([6]!NOTA[TGL.NOTA],MATCH(KENKO[[#This Row],[ID NOTA]],[6]!NOTA[ID],0)))</f>
        <v/>
      </c>
      <c r="I135" s="19" t="str">
        <f>IF(KENKO[[#This Row],[ID NOTA]]="","",INDEX([6]!NOTA[NO.NOTA],MATCH(KENKO[[#This Row],[ID NOTA]],[6]!NOTA[ID],0)))</f>
        <v/>
      </c>
      <c r="J135" s="4" t="s">
        <v>228</v>
      </c>
      <c r="K135" s="6" t="str">
        <f>""</f>
        <v/>
      </c>
      <c r="L135" s="6">
        <f ca="1">IF(KENKO[//]="","",IF(INDEX([6]!NOTA[QTY],KENKO[//]-2)="",INDEX([6]!NOTA[C],KENKO[//]-2),INDEX([6]!NOTA[QTY],KENKO[//]-2)))</f>
        <v>1</v>
      </c>
      <c r="M135" s="6" t="str">
        <f ca="1">IF(KENKO[//]="","",IF(INDEX([6]!NOTA[STN],KENKO[//]-2)="","CTN",INDEX([6]!NOTA[STN],KENKO[//]-2)))</f>
        <v>CTN</v>
      </c>
      <c r="N135" s="5">
        <f ca="1">IF(KENKO[[#This Row],[//]]="","",IF(INDEX([6]!NOTA[HARGA/ CTN],KENKO[[#This Row],[//]]-2)="",INDEX([6]!NOTA[HARGA SATUAN],KENKO[//]-2),INDEX([6]!NOTA[HARGA/ CTN],KENKO[[#This Row],[//]]-2)))</f>
        <v>1464000</v>
      </c>
      <c r="O135" s="8">
        <f ca="1">IF(KENKO[[#This Row],[//]]="","",INDEX([6]!NOTA[DISC 1],KENKO[[#This Row],[//]]-2))</f>
        <v>0.17</v>
      </c>
      <c r="P135" s="8">
        <f ca="1">IF(KENKO[[#This Row],[//]]="","",INDEX([6]!NOTA[DISC 2],KENKO[[#This Row],[//]]-2))</f>
        <v>0</v>
      </c>
      <c r="Q135" s="5">
        <f ca="1">IF(KENKO[[#This Row],[//]]="","",INDEX([6]!NOTA[JUMLAH],KENKO[[#This Row],[//]]-2)*(100%-IF(ISNUMBER(KENKO[[#This Row],[DISC 1 (%)]]),KENKO[[#This Row],[DISC 1 (%)]],0)))</f>
        <v>1215120</v>
      </c>
      <c r="R1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Row],[//]]="","",INDEX([6]!NOTA[NAMA BARANG],KENKO[[#This Row],[//]]-2))</f>
        <v>KENKO HIGHLIGHTER HL-100 YELLOW</v>
      </c>
      <c r="V135" s="4" t="str">
        <f ca="1">LOWER(SUBSTITUTE(SUBSTITUTE(SUBSTITUTE(SUBSTITUTE(SUBSTITUTE(SUBSTITUTE(SUBSTITUTE(SUBSTITUTE(KENKO[[#This Row],[N.B.nota]]," ",""),"-",""),"(",""),")",""),".",""),",",""),"/",""),"""",""))</f>
        <v>kenkohighlighterhl100yellow</v>
      </c>
      <c r="W135" s="4" t="s">
        <v>137</v>
      </c>
      <c r="X135" s="4" t="str">
        <f ca="1">IF(KENKO[[#This Row],[N.B.nota]]="","",ADDRESS(ROW(KENKO[QB]),COLUMN(KENKO[QB]))&amp;":"&amp;ADDRESS(ROW(),COLUMN(KENKO[QB])))</f>
        <v>$D$3:$D$135</v>
      </c>
      <c r="Y135" s="22" t="str">
        <f ca="1">IF(KENKO[[#This Row],[//]]="","",HYPERLINK("[..\\DB.xlsx]DB!e"&amp;MATCH(KENKO[[#This Row],[concat]],[4]!db[NB NOTA_C],0)+1,"&gt;"))</f>
        <v>&gt;</v>
      </c>
    </row>
    <row r="136" spans="1:25" x14ac:dyDescent="0.25">
      <c r="A136" s="19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NOTA]]="","",HYPERLINK("[NOTA_.xlsx]NOTA!e"&amp;INDEX([6]!PAJAK[//],MATCH(KENKO[[#This Row],[ID NOTA]],[6]!PAJAK[ID],0)),"&gt;")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641</v>
      </c>
      <c r="F136" s="6" t="str">
        <f>IF(KENKO[[#This Row],[NO. NOTA]]="","",INDEX([5]KE!$A:$A,MATCH(KENKO[[#This Row],[NO. NOTA]],[5]KE!$D:$D,0)))</f>
        <v/>
      </c>
      <c r="G136" s="3" t="str">
        <f>IF(KENKO[[#This Row],[ID NOTA]]="","",INDEX([6]!NOTA[TGL_H],MATCH(KENKO[[#This Row],[ID NOTA]],[6]!NOTA[ID],0)))</f>
        <v/>
      </c>
      <c r="H136" s="3" t="str">
        <f>IF(KENKO[[#This Row],[ID NOTA]]="","",INDEX([6]!NOTA[TGL.NOTA],MATCH(KENKO[[#This Row],[ID NOTA]],[6]!NOTA[ID],0)))</f>
        <v/>
      </c>
      <c r="I136" s="19" t="str">
        <f>IF(KENKO[[#This Row],[ID NOTA]]="","",INDEX([6]!NOTA[NO.NOTA],MATCH(KENKO[[#This Row],[ID NOTA]],[6]!NOTA[ID],0)))</f>
        <v/>
      </c>
      <c r="J136" s="4" t="s">
        <v>229</v>
      </c>
      <c r="K136" s="6" t="str">
        <f>""</f>
        <v/>
      </c>
      <c r="L136" s="6">
        <f ca="1">IF(KENKO[//]="","",IF(INDEX([6]!NOTA[QTY],KENKO[//]-2)="",INDEX([6]!NOTA[C],KENKO[//]-2),INDEX([6]!NOTA[QTY],KENKO[//]-2)))</f>
        <v>1</v>
      </c>
      <c r="M136" s="6" t="str">
        <f ca="1">IF(KENKO[//]="","",IF(INDEX([6]!NOTA[STN],KENKO[//]-2)="","CTN",INDEX([6]!NOTA[STN],KENKO[//]-2)))</f>
        <v>CTN</v>
      </c>
      <c r="N136" s="5">
        <f ca="1">IF(KENKO[[#This Row],[//]]="","",IF(INDEX([6]!NOTA[HARGA/ CTN],KENKO[[#This Row],[//]]-2)="",INDEX([6]!NOTA[HARGA SATUAN],KENKO[//]-2),INDEX([6]!NOTA[HARGA/ CTN],KENKO[[#This Row],[//]]-2)))</f>
        <v>1464000</v>
      </c>
      <c r="O136" s="8">
        <f ca="1">IF(KENKO[[#This Row],[//]]="","",INDEX([6]!NOTA[DISC 1],KENKO[[#This Row],[//]]-2))</f>
        <v>0.17</v>
      </c>
      <c r="P136" s="8">
        <f ca="1">IF(KENKO[[#This Row],[//]]="","",INDEX([6]!NOTA[DISC 2],KENKO[[#This Row],[//]]-2))</f>
        <v>0</v>
      </c>
      <c r="Q136" s="5">
        <f ca="1">IF(KENKO[[#This Row],[//]]="","",INDEX([6]!NOTA[JUMLAH],KENKO[[#This Row],[//]]-2)*(100%-IF(ISNUMBER(KENKO[[#This Row],[DISC 1 (%)]]),KENKO[[#This Row],[DISC 1 (%)]],0)))</f>
        <v>1215120</v>
      </c>
      <c r="R1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Row],[//]]="","",INDEX([6]!NOTA[NAMA BARANG],KENKO[[#This Row],[//]]-2))</f>
        <v>KENKO HIGHLIGHTER HL-100 ORANGE</v>
      </c>
      <c r="V136" s="4" t="str">
        <f ca="1">LOWER(SUBSTITUTE(SUBSTITUTE(SUBSTITUTE(SUBSTITUTE(SUBSTITUTE(SUBSTITUTE(SUBSTITUTE(SUBSTITUTE(KENKO[[#This Row],[N.B.nota]]," ",""),"-",""),"(",""),")",""),".",""),",",""),"/",""),"""",""))</f>
        <v>kenkohighlighterhl100orange</v>
      </c>
      <c r="W136" s="4" t="s">
        <v>137</v>
      </c>
      <c r="X136" s="4" t="str">
        <f ca="1">IF(KENKO[[#This Row],[N.B.nota]]="","",ADDRESS(ROW(KENKO[QB]),COLUMN(KENKO[QB]))&amp;":"&amp;ADDRESS(ROW(),COLUMN(KENKO[QB])))</f>
        <v>$D$3:$D$136</v>
      </c>
      <c r="Y136" s="22" t="str">
        <f ca="1">IF(KENKO[[#This Row],[//]]="","",HYPERLINK("[..\\DB.xlsx]DB!e"&amp;MATCH(KENKO[[#This Row],[concat]],[4]!db[NB NOTA_C],0)+1,"&gt;"))</f>
        <v>&gt;</v>
      </c>
    </row>
    <row r="137" spans="1:25" x14ac:dyDescent="0.25">
      <c r="A137" s="19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NOTA]]="","",HYPERLINK("[NOTA_.xlsx]NOTA!e"&amp;INDEX([6]!PAJAK[//],MATCH(KENKO[[#This Row],[ID NOTA]],[6]!PAJAK[ID],0)),"&gt;") )</f>
        <v/>
      </c>
      <c r="D137" s="6" t="str">
        <f>IF(KENKO[[#This Row],[ID NOTA]]="","",INDEX(Table1[QB],MATCH(KENKO[[#This Row],[ID NOTA]],Table1[ID],0)))</f>
        <v/>
      </c>
      <c r="E13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642</v>
      </c>
      <c r="F137" s="6" t="str">
        <f>IF(KENKO[[#This Row],[NO. NOTA]]="","",INDEX([5]KE!$A:$A,MATCH(KENKO[[#This Row],[NO. NOTA]],[5]KE!$D:$D,0)))</f>
        <v/>
      </c>
      <c r="G137" s="3" t="str">
        <f>IF(KENKO[[#This Row],[ID NOTA]]="","",INDEX([6]!NOTA[TGL_H],MATCH(KENKO[[#This Row],[ID NOTA]],[6]!NOTA[ID],0)))</f>
        <v/>
      </c>
      <c r="H137" s="3" t="str">
        <f>IF(KENKO[[#This Row],[ID NOTA]]="","",INDEX([6]!NOTA[TGL.NOTA],MATCH(KENKO[[#This Row],[ID NOTA]],[6]!NOTA[ID],0)))</f>
        <v/>
      </c>
      <c r="I137" s="19" t="str">
        <f>IF(KENKO[[#This Row],[ID NOTA]]="","",INDEX([6]!NOTA[NO.NOTA],MATCH(KENKO[[#This Row],[ID NOTA]],[6]!NOTA[ID],0)))</f>
        <v/>
      </c>
      <c r="J137" s="4" t="s">
        <v>230</v>
      </c>
      <c r="K137" s="6" t="str">
        <f>""</f>
        <v/>
      </c>
      <c r="L137" s="6">
        <f ca="1">IF(KENKO[//]="","",IF(INDEX([6]!NOTA[QTY],KENKO[//]-2)="",INDEX([6]!NOTA[C],KENKO[//]-2),INDEX([6]!NOTA[QTY],KENKO[//]-2)))</f>
        <v>24</v>
      </c>
      <c r="M137" s="6" t="str">
        <f ca="1">IF(KENKO[//]="","",IF(INDEX([6]!NOTA[STN],KENKO[//]-2)="","CTN",INDEX([6]!NOTA[STN],KENKO[//]-2)))</f>
        <v>BOX</v>
      </c>
      <c r="N137" s="5">
        <f ca="1">IF(KENKO[[#This Row],[//]]="","",IF(INDEX([6]!NOTA[HARGA/ CTN],KENKO[[#This Row],[//]]-2)="",INDEX([6]!NOTA[HARGA SATUAN],KENKO[//]-2),INDEX([6]!NOTA[HARGA/ CTN],KENKO[[#This Row],[//]]-2)))</f>
        <v>30500</v>
      </c>
      <c r="O137" s="8">
        <f ca="1">IF(KENKO[[#This Row],[//]]="","",INDEX([6]!NOTA[DISC 1],KENKO[[#This Row],[//]]-2))</f>
        <v>0.17</v>
      </c>
      <c r="P137" s="8">
        <f ca="1">IF(KENKO[[#This Row],[//]]="","",INDEX([6]!NOTA[DISC 2],KENKO[[#This Row],[//]]-2))</f>
        <v>0</v>
      </c>
      <c r="Q137" s="5">
        <f ca="1">IF(KENKO[[#This Row],[//]]="","",INDEX([6]!NOTA[JUMLAH],KENKO[[#This Row],[//]]-2)*(100%-IF(ISNUMBER(KENKO[[#This Row],[DISC 1 (%)]]),KENKO[[#This Row],[DISC 1 (%)]],0)))</f>
        <v>607560</v>
      </c>
      <c r="R1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Row],[//]]="","",INDEX([6]!NOTA[NAMA BARANG],KENKO[[#This Row],[//]]-2))</f>
        <v>KENKO HIGHLIGHTER HL-100 GREEN</v>
      </c>
      <c r="V137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37" s="4" t="s">
        <v>137</v>
      </c>
      <c r="X137" s="4" t="str">
        <f ca="1">IF(KENKO[[#This Row],[N.B.nota]]="","",ADDRESS(ROW(KENKO[QB]),COLUMN(KENKO[QB]))&amp;":"&amp;ADDRESS(ROW(),COLUMN(KENKO[QB])))</f>
        <v>$D$3:$D$137</v>
      </c>
      <c r="Y137" s="22" t="str">
        <f ca="1">IF(KENKO[[#This Row],[//]]="","",HYPERLINK("[..\\DB.xlsx]DB!e"&amp;MATCH(KENKO[[#This Row],[concat]],[4]!db[NB NOTA_C],0)+1,"&gt;"))</f>
        <v>&gt;</v>
      </c>
    </row>
    <row r="138" spans="1:25" x14ac:dyDescent="0.25">
      <c r="A138" s="19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NOTA]]="","",HYPERLINK("[NOTA_.xlsx]NOTA!e"&amp;INDEX([6]!PAJAK[//],MATCH(KENKO[[#This Row],[ID NOTA]],[6]!PAJAK[ID],0)),"&gt;")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643</v>
      </c>
      <c r="F138" s="6" t="str">
        <f>IF(KENKO[[#This Row],[NO. NOTA]]="","",INDEX([5]KE!$A:$A,MATCH(KENKO[[#This Row],[NO. NOTA]],[5]KE!$D:$D,0)))</f>
        <v/>
      </c>
      <c r="G138" s="3" t="str">
        <f>IF(KENKO[[#This Row],[ID NOTA]]="","",INDEX([6]!NOTA[TGL_H],MATCH(KENKO[[#This Row],[ID NOTA]],[6]!NOTA[ID],0)))</f>
        <v/>
      </c>
      <c r="H138" s="3" t="str">
        <f>IF(KENKO[[#This Row],[ID NOTA]]="","",INDEX([6]!NOTA[TGL.NOTA],MATCH(KENKO[[#This Row],[ID NOTA]],[6]!NOTA[ID],0)))</f>
        <v/>
      </c>
      <c r="I138" s="19" t="str">
        <f>IF(KENKO[[#This Row],[ID NOTA]]="","",INDEX([6]!NOTA[NO.NOTA],MATCH(KENKO[[#This Row],[ID NOTA]],[6]!NOTA[ID],0)))</f>
        <v/>
      </c>
      <c r="J138" s="4" t="s">
        <v>231</v>
      </c>
      <c r="K138" s="6" t="str">
        <f>""</f>
        <v/>
      </c>
      <c r="L138" s="6">
        <f ca="1">IF(KENKO[//]="","",IF(INDEX([6]!NOTA[QTY],KENKO[//]-2)="",INDEX([6]!NOTA[C],KENKO[//]-2),INDEX([6]!NOTA[QTY],KENKO[//]-2)))</f>
        <v>24</v>
      </c>
      <c r="M138" s="6" t="str">
        <f ca="1">IF(KENKO[//]="","",IF(INDEX([6]!NOTA[STN],KENKO[//]-2)="","CTN",INDEX([6]!NOTA[STN],KENKO[//]-2)))</f>
        <v>BOX</v>
      </c>
      <c r="N138" s="5">
        <f ca="1">IF(KENKO[[#This Row],[//]]="","",IF(INDEX([6]!NOTA[HARGA/ CTN],KENKO[[#This Row],[//]]-2)="",INDEX([6]!NOTA[HARGA SATUAN],KENKO[//]-2),INDEX([6]!NOTA[HARGA/ CTN],KENKO[[#This Row],[//]]-2)))</f>
        <v>30500</v>
      </c>
      <c r="O138" s="8">
        <f ca="1">IF(KENKO[[#This Row],[//]]="","",INDEX([6]!NOTA[DISC 1],KENKO[[#This Row],[//]]-2))</f>
        <v>0.17</v>
      </c>
      <c r="P138" s="8">
        <f ca="1">IF(KENKO[[#This Row],[//]]="","",INDEX([6]!NOTA[DISC 2],KENKO[[#This Row],[//]]-2))</f>
        <v>0</v>
      </c>
      <c r="Q138" s="5">
        <f ca="1">IF(KENKO[[#This Row],[//]]="","",INDEX([6]!NOTA[JUMLAH],KENKO[[#This Row],[//]]-2)*(100%-IF(ISNUMBER(KENKO[[#This Row],[DISC 1 (%)]]),KENKO[[#This Row],[DISC 1 (%)]],0)))</f>
        <v>607560</v>
      </c>
      <c r="R13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8507208</v>
      </c>
      <c r="S13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41535192</v>
      </c>
      <c r="T13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Row],[//]]="","",INDEX([6]!NOTA[NAMA BARANG],KENKO[[#This Row],[//]]-2))</f>
        <v>KENKO HIGHLIGHTER HL-100 PINK</v>
      </c>
      <c r="V138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38" s="4" t="s">
        <v>137</v>
      </c>
      <c r="X138" s="4" t="str">
        <f ca="1">IF(KENKO[[#This Row],[N.B.nota]]="","",ADDRESS(ROW(KENKO[QB]),COLUMN(KENKO[QB]))&amp;":"&amp;ADDRESS(ROW(),COLUMN(KENKO[QB])))</f>
        <v>$D$3:$D$138</v>
      </c>
      <c r="Y138" s="22" t="str">
        <f ca="1">IF(KENKO[[#This Row],[//]]="","",HYPERLINK("[..\\DB.xlsx]DB!e"&amp;MATCH(KENKO[[#This Row],[concat]],[4]!db[NB NOTA_C],0)+1,"&gt;"))</f>
        <v>&gt;</v>
      </c>
    </row>
    <row r="139" spans="1:25" x14ac:dyDescent="0.25">
      <c r="A139" s="19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NOTA]]="","",HYPERLINK("[NOTA_.xlsx]NOTA!e"&amp;INDEX([6]!PAJAK[//],MATCH(KENKO[[#This Row],[ID NOTA]],[6]!PAJAK[ID],0)),"&gt;") )</f>
        <v/>
      </c>
      <c r="D139" s="6" t="str">
        <f>IF(KENKO[[#This Row],[ID NOTA]]="","",INDEX(Table1[QB],MATCH(KENKO[[#This Row],[ID NOTA]],Table1[ID],0)))</f>
        <v/>
      </c>
      <c r="E139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9" s="6" t="str">
        <f>IF(KENKO[[#This Row],[NO. NOTA]]="","",INDEX([5]KE!$A:$A,MATCH(KENKO[[#This Row],[NO. NOTA]],[5]KE!$D:$D,0)))</f>
        <v/>
      </c>
      <c r="G139" s="3" t="str">
        <f>IF(KENKO[[#This Row],[ID NOTA]]="","",INDEX([6]!NOTA[TGL_H],MATCH(KENKO[[#This Row],[ID NOTA]],[6]!NOTA[ID],0)))</f>
        <v/>
      </c>
      <c r="H139" s="3" t="str">
        <f>IF(KENKO[[#This Row],[ID NOTA]]="","",INDEX([6]!NOTA[TGL.NOTA],MATCH(KENKO[[#This Row],[ID NOTA]],[6]!NOTA[ID],0)))</f>
        <v/>
      </c>
      <c r="I139" s="19" t="str">
        <f>IF(KENKO[[#This Row],[ID NOTA]]="","",INDEX([6]!NOTA[NO.NOTA],MATCH(KENKO[[#This Row],[ID NOTA]],[6]!NOTA[ID],0)))</f>
        <v/>
      </c>
      <c r="J139" s="4" t="s">
        <v>136</v>
      </c>
      <c r="K139" s="6" t="str">
        <f>""</f>
        <v/>
      </c>
      <c r="L139" s="6" t="str">
        <f ca="1">IF(KENKO[//]="","",IF(INDEX([6]!NOTA[QTY],KENKO[//]-2)="",INDEX([6]!NOTA[C],KENKO[//]-2),INDEX([6]!NOTA[QTY],KENKO[//]-2)))</f>
        <v/>
      </c>
      <c r="M139" s="6" t="str">
        <f ca="1">IF(KENKO[//]="","",IF(INDEX([6]!NOTA[STN],KENKO[//]-2)="","CTN",INDEX([6]!NOTA[STN],KENKO[//]-2)))</f>
        <v/>
      </c>
      <c r="N139" s="5" t="str">
        <f ca="1">IF(KENKO[[#This Row],[//]]="","",IF(INDEX([6]!NOTA[HARGA/ CTN],KENKO[[#This Row],[//]]-2)="",INDEX([6]!NOTA[HARGA SATUAN],KENKO[//]-2),INDEX([6]!NOTA[HARGA/ CTN],KENKO[[#This Row],[//]]-2)))</f>
        <v/>
      </c>
      <c r="O139" s="8" t="str">
        <f ca="1">IF(KENKO[[#This Row],[//]]="","",INDEX([6]!NOTA[DISC 1],KENKO[[#This Row],[//]]-2))</f>
        <v/>
      </c>
      <c r="P139" s="8" t="str">
        <f ca="1">IF(KENKO[[#This Row],[//]]="","",INDEX([6]!NOTA[DISC 2],KENKO[[#This Row],[//]]-2))</f>
        <v/>
      </c>
      <c r="Q139" s="5" t="str">
        <f ca="1">IF(KENKO[[#This Row],[//]]="","",INDEX([6]!NOTA[JUMLAH],KENKO[[#This Row],[//]]-2)*(100%-IF(ISNUMBER(KENKO[[#This Row],[DISC 1 (%)]]),KENKO[[#This Row],[DISC 1 (%)]],0)))</f>
        <v/>
      </c>
      <c r="R13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Row],[//]]="","",INDEX([6]!NOTA[NAMA BARANG],KENKO[[#This Row],[//]]-2))</f>
        <v/>
      </c>
      <c r="V139" s="4" t="str">
        <f ca="1">LOWER(SUBSTITUTE(SUBSTITUTE(SUBSTITUTE(SUBSTITUTE(SUBSTITUTE(SUBSTITUTE(SUBSTITUTE(SUBSTITUTE(KENKO[[#This Row],[N.B.nota]]," ",""),"-",""),"(",""),")",""),".",""),",",""),"/",""),"""",""))</f>
        <v/>
      </c>
      <c r="W139" s="4" t="s">
        <v>136</v>
      </c>
      <c r="X139" s="4" t="str">
        <f ca="1">IF(KENKO[[#This Row],[N.B.nota]]="","",ADDRESS(ROW(KENKO[QB]),COLUMN(KENKO[QB]))&amp;":"&amp;ADDRESS(ROW(),COLUMN(KENKO[QB])))</f>
        <v/>
      </c>
      <c r="Y139" s="22" t="str">
        <f ca="1">IF(KENKO[[#This Row],[//]]="","",HYPERLINK("[..\\DB.xlsx]DB!e"&amp;MATCH(KENKO[[#This Row],[concat]],[4]!db[NB NOTA_C],0)+1,"&gt;"))</f>
        <v/>
      </c>
    </row>
    <row r="140" spans="1:25" x14ac:dyDescent="0.25">
      <c r="A140" s="19" t="s">
        <v>85</v>
      </c>
      <c r="B140" s="6">
        <f ca="1">IF(KENKO[[#This Row],[N_ID]]="","",INDEX(Table1[ID],MATCH(KENKO[[#This Row],[N_ID]],Table1[N_ID],0)))</f>
        <v>121</v>
      </c>
      <c r="C140" s="6" t="str">
        <f ca="1">IF(KENKO[[#This Row],[ID NOTA]]="","",HYPERLINK("[NOTA_.xlsx]NOTA!e"&amp;INDEX([6]!PAJAK[//],MATCH(KENKO[[#This Row],[ID NOTA]],[6]!PAJAK[ID],0)),"&gt;") )</f>
        <v>&gt;</v>
      </c>
      <c r="D140" s="6">
        <f ca="1">IF(KENKO[[#This Row],[ID NOTA]]="","",INDEX(Table1[QB],MATCH(KENKO[[#This Row],[ID NOTA]],Table1[ID],0)))</f>
        <v>1</v>
      </c>
      <c r="E14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631</v>
      </c>
      <c r="F140" s="6" t="e">
        <f ca="1">IF(KENKO[[#This Row],[NO. NOTA]]="","",INDEX([5]KE!$A:$A,MATCH(KENKO[[#This Row],[NO. NOTA]],[5]KE!$D:$D,0)))</f>
        <v>#N/A</v>
      </c>
      <c r="G140" s="3">
        <f ca="1">IF(KENKO[[#This Row],[ID NOTA]]="","",INDEX([6]!NOTA[TGL_H],MATCH(KENKO[[#This Row],[ID NOTA]],[6]!NOTA[ID],0)))</f>
        <v>44762</v>
      </c>
      <c r="H140" s="3">
        <f ca="1">IF(KENKO[[#This Row],[ID NOTA]]="","",INDEX([6]!NOTA[TGL.NOTA],MATCH(KENKO[[#This Row],[ID NOTA]],[6]!NOTA[ID],0)))</f>
        <v>44757</v>
      </c>
      <c r="I140" s="19" t="str">
        <f ca="1">IF(KENKO[[#This Row],[ID NOTA]]="","",INDEX([6]!NOTA[NO.NOTA],MATCH(KENKO[[#This Row],[ID NOTA]],[6]!NOTA[ID],0)))</f>
        <v>22071365</v>
      </c>
      <c r="J140" s="4" t="s">
        <v>232</v>
      </c>
      <c r="K140" s="6" t="str">
        <f>""</f>
        <v/>
      </c>
      <c r="L140" s="6">
        <f ca="1">IF(KENKO[//]="","",IF(INDEX([6]!NOTA[QTY],KENKO[//]-2)="",INDEX([6]!NOTA[C],KENKO[//]-2),INDEX([6]!NOTA[QTY],KENKO[//]-2)))</f>
        <v>2</v>
      </c>
      <c r="M140" s="6" t="str">
        <f ca="1">IF(KENKO[//]="","",IF(INDEX([6]!NOTA[STN],KENKO[//]-2)="","CTN",INDEX([6]!NOTA[STN],KENKO[//]-2)))</f>
        <v>CTN</v>
      </c>
      <c r="N140" s="5">
        <f ca="1">IF(KENKO[[#This Row],[//]]="","",IF(INDEX([6]!NOTA[HARGA/ CTN],KENKO[[#This Row],[//]]-2)="",INDEX([6]!NOTA[HARGA SATUAN],KENKO[//]-2),INDEX([6]!NOTA[HARGA/ CTN],KENKO[[#This Row],[//]]-2)))</f>
        <v>732000</v>
      </c>
      <c r="O140" s="8">
        <f ca="1">IF(KENKO[[#This Row],[//]]="","",INDEX([6]!NOTA[DISC 1],KENKO[[#This Row],[//]]-2))</f>
        <v>0.17</v>
      </c>
      <c r="P140" s="8">
        <f ca="1">IF(KENKO[[#This Row],[//]]="","",INDEX([6]!NOTA[DISC 2],KENKO[[#This Row],[//]]-2))</f>
        <v>0</v>
      </c>
      <c r="Q140" s="5">
        <f ca="1">IF(KENKO[[#This Row],[//]]="","",INDEX([6]!NOTA[JUMLAH],KENKO[[#This Row],[//]]-2)*(100%-IF(ISNUMBER(KENKO[[#This Row],[DISC 1 (%)]]),KENKO[[#This Row],[DISC 1 (%)]],0)))</f>
        <v>1215120</v>
      </c>
      <c r="R14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248880.00000000003</v>
      </c>
      <c r="S14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1215120</v>
      </c>
      <c r="T14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Row],[//]]="","",INDEX([6]!NOTA[NAMA BARANG],KENKO[[#This Row],[//]]-2))</f>
        <v>KENKO CLOTH TAPE 36 MM BLUE CORE - BLACK</v>
      </c>
      <c r="V140" s="4" t="str">
        <f ca="1">LOWER(SUBSTITUTE(SUBSTITUTE(SUBSTITUTE(SUBSTITUTE(SUBSTITUTE(SUBSTITUTE(SUBSTITUTE(SUBSTITUTE(KENKO[[#This Row],[N.B.nota]]," ",""),"-",""),"(",""),")",""),".",""),",",""),"/",""),"""",""))</f>
        <v>kenkoclothtape36mmbluecoreblack</v>
      </c>
      <c r="W140" s="4" t="s">
        <v>137</v>
      </c>
      <c r="X140" s="4" t="str">
        <f ca="1">IF(KENKO[[#This Row],[N.B.nota]]="","",ADDRESS(ROW(KENKO[QB]),COLUMN(KENKO[QB]))&amp;":"&amp;ADDRESS(ROW(),COLUMN(KENKO[QB])))</f>
        <v>$D$3:$D$140</v>
      </c>
      <c r="Y140" s="22" t="str">
        <f ca="1">IF(KENKO[[#This Row],[//]]="","",HYPERLINK("[..\\DB.xlsx]DB!e"&amp;MATCH(KENKO[[#This Row],[concat]],[4]!db[NB NOTA_C],0)+1,"&gt;"))</f>
        <v>&gt;</v>
      </c>
    </row>
    <row r="141" spans="1:25" x14ac:dyDescent="0.25">
      <c r="A141" s="19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NOTA]]="","",HYPERLINK("[NOTA_.xlsx]NOTA!e"&amp;INDEX([6]!PAJAK[//],MATCH(KENKO[[#This Row],[ID NOTA]],[6]!PAJAK[ID],0)),"&gt;") )</f>
        <v/>
      </c>
      <c r="D141" s="6" t="str">
        <f>IF(KENKO[[#This Row],[ID NOTA]]="","",INDEX(Table1[QB],MATCH(KENKO[[#This Row],[ID NOTA]],Table1[ID],0)))</f>
        <v/>
      </c>
      <c r="E14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1" s="6" t="str">
        <f>IF(KENKO[[#This Row],[NO. NOTA]]="","",INDEX([5]KE!$A:$A,MATCH(KENKO[[#This Row],[NO. NOTA]],[5]KE!$D:$D,0)))</f>
        <v/>
      </c>
      <c r="G141" s="3" t="str">
        <f>IF(KENKO[[#This Row],[ID NOTA]]="","",INDEX([6]!NOTA[TGL_H],MATCH(KENKO[[#This Row],[ID NOTA]],[6]!NOTA[ID],0)))</f>
        <v/>
      </c>
      <c r="H141" s="3" t="str">
        <f>IF(KENKO[[#This Row],[ID NOTA]]="","",INDEX([6]!NOTA[TGL.NOTA],MATCH(KENKO[[#This Row],[ID NOTA]],[6]!NOTA[ID],0)))</f>
        <v/>
      </c>
      <c r="I141" s="19" t="str">
        <f>IF(KENKO[[#This Row],[ID NOTA]]="","",INDEX([6]!NOTA[NO.NOTA],MATCH(KENKO[[#This Row],[ID NOTA]],[6]!NOTA[ID],0)))</f>
        <v/>
      </c>
      <c r="J141" s="4" t="s">
        <v>136</v>
      </c>
      <c r="K141" s="6" t="str">
        <f>""</f>
        <v/>
      </c>
      <c r="L141" s="6" t="str">
        <f ca="1">IF(KENKO[//]="","",IF(INDEX([6]!NOTA[QTY],KENKO[//]-2)="",INDEX([6]!NOTA[C],KENKO[//]-2),INDEX([6]!NOTA[QTY],KENKO[//]-2)))</f>
        <v/>
      </c>
      <c r="M141" s="6" t="str">
        <f ca="1">IF(KENKO[//]="","",IF(INDEX([6]!NOTA[STN],KENKO[//]-2)="","CTN",INDEX([6]!NOTA[STN],KENKO[//]-2)))</f>
        <v/>
      </c>
      <c r="N141" s="5" t="str">
        <f ca="1">IF(KENKO[[#This Row],[//]]="","",IF(INDEX([6]!NOTA[HARGA/ CTN],KENKO[[#This Row],[//]]-2)="",INDEX([6]!NOTA[HARGA SATUAN],KENKO[//]-2),INDEX([6]!NOTA[HARGA/ CTN],KENKO[[#This Row],[//]]-2)))</f>
        <v/>
      </c>
      <c r="O141" s="8" t="str">
        <f ca="1">IF(KENKO[[#This Row],[//]]="","",INDEX([6]!NOTA[DISC 1],KENKO[[#This Row],[//]]-2))</f>
        <v/>
      </c>
      <c r="P141" s="8" t="str">
        <f ca="1">IF(KENKO[[#This Row],[//]]="","",INDEX([6]!NOTA[DISC 2],KENKO[[#This Row],[//]]-2))</f>
        <v/>
      </c>
      <c r="Q141" s="5" t="str">
        <f ca="1">IF(KENKO[[#This Row],[//]]="","",INDEX([6]!NOTA[JUMLAH],KENKO[[#This Row],[//]]-2)*(100%-IF(ISNUMBER(KENKO[[#This Row],[DISC 1 (%)]]),KENKO[[#This Row],[DISC 1 (%)]],0)))</f>
        <v/>
      </c>
      <c r="R1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Row],[//]]="","",INDEX([6]!NOTA[NAMA BARANG],KENKO[[#This Row],[//]]-2))</f>
        <v/>
      </c>
      <c r="V141" s="4" t="str">
        <f ca="1">LOWER(SUBSTITUTE(SUBSTITUTE(SUBSTITUTE(SUBSTITUTE(SUBSTITUTE(SUBSTITUTE(SUBSTITUTE(SUBSTITUTE(KENKO[[#This Row],[N.B.nota]]," ",""),"-",""),"(",""),")",""),".",""),",",""),"/",""),"""",""))</f>
        <v/>
      </c>
      <c r="W141" s="4" t="s">
        <v>136</v>
      </c>
      <c r="X141" s="4" t="str">
        <f ca="1">IF(KENKO[[#This Row],[N.B.nota]]="","",ADDRESS(ROW(KENKO[QB]),COLUMN(KENKO[QB]))&amp;":"&amp;ADDRESS(ROW(),COLUMN(KENKO[QB])))</f>
        <v/>
      </c>
      <c r="Y141" s="22" t="str">
        <f ca="1">IF(KENKO[[#This Row],[//]]="","",HYPERLINK("[..\\DB.xlsx]DB!e"&amp;MATCH(KENKO[[#This Row],[concat]],[4]!db[NB NOTA_C],0)+1,"&gt;"))</f>
        <v/>
      </c>
    </row>
    <row r="142" spans="1:25" x14ac:dyDescent="0.25">
      <c r="A142" s="19" t="s">
        <v>86</v>
      </c>
      <c r="B142" s="6">
        <f ca="1">IF(KENKO[[#This Row],[N_ID]]="","",INDEX(Table1[ID],MATCH(KENKO[[#This Row],[N_ID]],Table1[N_ID],0)))</f>
        <v>123</v>
      </c>
      <c r="C142" s="6" t="str">
        <f ca="1">IF(KENKO[[#This Row],[ID NOTA]]="","",HYPERLINK("[NOTA_.xlsx]NOTA!e"&amp;INDEX([6]!PAJAK[//],MATCH(KENKO[[#This Row],[ID NOTA]],[6]!PAJAK[ID],0)),"&gt;") )</f>
        <v>&gt;</v>
      </c>
      <c r="D142" s="6">
        <f ca="1">IF(KENKO[[#This Row],[ID NOTA]]="","",INDEX(Table1[QB],MATCH(KENKO[[#This Row],[ID NOTA]],Table1[ID],0)))</f>
        <v>4</v>
      </c>
      <c r="E14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645</v>
      </c>
      <c r="F142" s="6" t="e">
        <f ca="1">IF(KENKO[[#This Row],[NO. NOTA]]="","",INDEX([5]KE!$A:$A,MATCH(KENKO[[#This Row],[NO. NOTA]],[5]KE!$D:$D,0)))</f>
        <v>#N/A</v>
      </c>
      <c r="G142" s="3">
        <f ca="1">IF(KENKO[[#This Row],[ID NOTA]]="","",INDEX([6]!NOTA[TGL_H],MATCH(KENKO[[#This Row],[ID NOTA]],[6]!NOTA[ID],0)))</f>
        <v>44762</v>
      </c>
      <c r="H142" s="3">
        <f ca="1">IF(KENKO[[#This Row],[ID NOTA]]="","",INDEX([6]!NOTA[TGL.NOTA],MATCH(KENKO[[#This Row],[ID NOTA]],[6]!NOTA[ID],0)))</f>
        <v>44758</v>
      </c>
      <c r="I142" s="19" t="str">
        <f ca="1">IF(KENKO[[#This Row],[ID NOTA]]="","",INDEX([6]!NOTA[NO.NOTA],MATCH(KENKO[[#This Row],[ID NOTA]],[6]!NOTA[ID],0)))</f>
        <v>22071481</v>
      </c>
      <c r="J142" s="4" t="s">
        <v>233</v>
      </c>
      <c r="K142" s="6" t="str">
        <f>""</f>
        <v/>
      </c>
      <c r="L142" s="6">
        <f ca="1">IF(KENKO[//]="","",IF(INDEX([6]!NOTA[QTY],KENKO[//]-2)="",INDEX([6]!NOTA[C],KENKO[//]-2),INDEX([6]!NOTA[QTY],KENKO[//]-2)))</f>
        <v>2</v>
      </c>
      <c r="M142" s="6" t="str">
        <f ca="1">IF(KENKO[//]="","",IF(INDEX([6]!NOTA[STN],KENKO[//]-2)="","CTN",INDEX([6]!NOTA[STN],KENKO[//]-2)))</f>
        <v>CTN</v>
      </c>
      <c r="N142" s="5">
        <f ca="1">IF(KENKO[[#This Row],[//]]="","",IF(INDEX([6]!NOTA[HARGA/ CTN],KENKO[[#This Row],[//]]-2)="",INDEX([6]!NOTA[HARGA SATUAN],KENKO[//]-2),INDEX([6]!NOTA[HARGA/ CTN],KENKO[[#This Row],[//]]-2)))</f>
        <v>720000</v>
      </c>
      <c r="O142" s="8">
        <f ca="1">IF(KENKO[[#This Row],[//]]="","",INDEX([6]!NOTA[DISC 1],KENKO[[#This Row],[//]]-2))</f>
        <v>0.17</v>
      </c>
      <c r="P142" s="8">
        <f ca="1">IF(KENKO[[#This Row],[//]]="","",INDEX([6]!NOTA[DISC 2],KENKO[[#This Row],[//]]-2))</f>
        <v>0</v>
      </c>
      <c r="Q142" s="5">
        <f ca="1">IF(KENKO[[#This Row],[//]]="","",INDEX([6]!NOTA[JUMLAH],KENKO[[#This Row],[//]]-2)*(100%-IF(ISNUMBER(KENKO[[#This Row],[DISC 1 (%)]]),KENKO[[#This Row],[DISC 1 (%)]],0)))</f>
        <v>1195200</v>
      </c>
      <c r="R1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Row],[//]]="","",INDEX([6]!NOTA[NAMA BARANG],KENKO[[#This Row],[//]]-2))</f>
        <v>KENKO BUKU TAMU BT-2920-03 (KEMBANG)</v>
      </c>
      <c r="V142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42" s="4" t="s">
        <v>137</v>
      </c>
      <c r="X142" s="4" t="str">
        <f ca="1">IF(KENKO[[#This Row],[N.B.nota]]="","",ADDRESS(ROW(KENKO[QB]),COLUMN(KENKO[QB]))&amp;":"&amp;ADDRESS(ROW(),COLUMN(KENKO[QB])))</f>
        <v>$D$3:$D$142</v>
      </c>
      <c r="Y142" s="22" t="str">
        <f ca="1">IF(KENKO[[#This Row],[//]]="","",HYPERLINK("[..\\DB.xlsx]DB!e"&amp;MATCH(KENKO[[#This Row],[concat]],[4]!db[NB NOTA_C],0)+1,"&gt;"))</f>
        <v>&gt;</v>
      </c>
    </row>
    <row r="143" spans="1:25" x14ac:dyDescent="0.25">
      <c r="A143" s="19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NOTA]]="","",HYPERLINK("[NOTA_.xlsx]NOTA!e"&amp;INDEX([6]!PAJAK[//],MATCH(KENKO[[#This Row],[ID NOTA]],[6]!PAJAK[ID],0)),"&gt;") )</f>
        <v/>
      </c>
      <c r="D143" s="6" t="str">
        <f>IF(KENKO[[#This Row],[ID NOTA]]="","",INDEX(Table1[QB],MATCH(KENKO[[#This Row],[ID NOTA]],Table1[ID],0)))</f>
        <v/>
      </c>
      <c r="E14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646</v>
      </c>
      <c r="F143" s="6" t="str">
        <f>IF(KENKO[[#This Row],[NO. NOTA]]="","",INDEX([5]KE!$A:$A,MATCH(KENKO[[#This Row],[NO. NOTA]],[5]KE!$D:$D,0)))</f>
        <v/>
      </c>
      <c r="G143" s="3" t="str">
        <f>IF(KENKO[[#This Row],[ID NOTA]]="","",INDEX([6]!NOTA[TGL_H],MATCH(KENKO[[#This Row],[ID NOTA]],[6]!NOTA[ID],0)))</f>
        <v/>
      </c>
      <c r="H143" s="3" t="str">
        <f>IF(KENKO[[#This Row],[ID NOTA]]="","",INDEX([6]!NOTA[TGL.NOTA],MATCH(KENKO[[#This Row],[ID NOTA]],[6]!NOTA[ID],0)))</f>
        <v/>
      </c>
      <c r="I143" s="19" t="str">
        <f>IF(KENKO[[#This Row],[ID NOTA]]="","",INDEX([6]!NOTA[NO.NOTA],MATCH(KENKO[[#This Row],[ID NOTA]],[6]!NOTA[ID],0)))</f>
        <v/>
      </c>
      <c r="J143" s="4" t="s">
        <v>182</v>
      </c>
      <c r="K143" s="6" t="str">
        <f>""</f>
        <v/>
      </c>
      <c r="L143" s="6">
        <f ca="1">IF(KENKO[//]="","",IF(INDEX([6]!NOTA[QTY],KENKO[//]-2)="",INDEX([6]!NOTA[C],KENKO[//]-2),INDEX([6]!NOTA[QTY],KENKO[//]-2)))</f>
        <v>1</v>
      </c>
      <c r="M143" s="6" t="str">
        <f ca="1">IF(KENKO[//]="","",IF(INDEX([6]!NOTA[STN],KENKO[//]-2)="","CTN",INDEX([6]!NOTA[STN],KENKO[//]-2)))</f>
        <v>CTN</v>
      </c>
      <c r="N143" s="5">
        <f ca="1">IF(KENKO[[#This Row],[//]]="","",IF(INDEX([6]!NOTA[HARGA/ CTN],KENKO[[#This Row],[//]]-2)="",INDEX([6]!NOTA[HARGA SATUAN],KENKO[//]-2),INDEX([6]!NOTA[HARGA/ CTN],KENKO[[#This Row],[//]]-2)))</f>
        <v>708000</v>
      </c>
      <c r="O143" s="8">
        <f ca="1">IF(KENKO[[#This Row],[//]]="","",INDEX([6]!NOTA[DISC 1],KENKO[[#This Row],[//]]-2))</f>
        <v>0.17</v>
      </c>
      <c r="P143" s="8">
        <f ca="1">IF(KENKO[[#This Row],[//]]="","",INDEX([6]!NOTA[DISC 2],KENKO[[#This Row],[//]]-2))</f>
        <v>0</v>
      </c>
      <c r="Q143" s="5">
        <f ca="1">IF(KENKO[[#This Row],[//]]="","",INDEX([6]!NOTA[JUMLAH],KENKO[[#This Row],[//]]-2)*(100%-IF(ISNUMBER(KENKO[[#This Row],[DISC 1 (%)]]),KENKO[[#This Row],[DISC 1 (%)]],0)))</f>
        <v>587640</v>
      </c>
      <c r="R1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Row],[//]]="","",INDEX([6]!NOTA[NAMA BARANG],KENKO[[#This Row],[//]]-2))</f>
        <v>KENKO BUKU TAMU BT-2920-BTK02 (BATIK)</v>
      </c>
      <c r="V143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43" s="4" t="s">
        <v>137</v>
      </c>
      <c r="X143" s="4" t="str">
        <f ca="1">IF(KENKO[[#This Row],[N.B.nota]]="","",ADDRESS(ROW(KENKO[QB]),COLUMN(KENKO[QB]))&amp;":"&amp;ADDRESS(ROW(),COLUMN(KENKO[QB])))</f>
        <v>$D$3:$D$143</v>
      </c>
      <c r="Y143" s="22" t="str">
        <f ca="1">IF(KENKO[[#This Row],[//]]="","",HYPERLINK("[..\\DB.xlsx]DB!e"&amp;MATCH(KENKO[[#This Row],[concat]],[4]!db[NB NOTA_C],0)+1,"&gt;"))</f>
        <v>&gt;</v>
      </c>
    </row>
    <row r="144" spans="1:25" x14ac:dyDescent="0.25">
      <c r="A144" s="19"/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NOTA]]="","",HYPERLINK("[NOTA_.xlsx]NOTA!e"&amp;INDEX([6]!PAJAK[//],MATCH(KENKO[[#This Row],[ID NOTA]],[6]!PAJAK[ID],0)),"&gt;") )</f>
        <v/>
      </c>
      <c r="D144" s="6" t="str">
        <f>IF(KENKO[[#This Row],[ID NOTA]]="","",INDEX(Table1[QB],MATCH(KENKO[[#This Row],[ID NOTA]],Table1[ID],0)))</f>
        <v/>
      </c>
      <c r="E14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647</v>
      </c>
      <c r="F144" s="6" t="str">
        <f>IF(KENKO[[#This Row],[NO. NOTA]]="","",INDEX([5]KE!$A:$A,MATCH(KENKO[[#This Row],[NO. NOTA]],[5]KE!$D:$D,0)))</f>
        <v/>
      </c>
      <c r="G144" s="3" t="str">
        <f>IF(KENKO[[#This Row],[ID NOTA]]="","",INDEX([6]!NOTA[TGL_H],MATCH(KENKO[[#This Row],[ID NOTA]],[6]!NOTA[ID],0)))</f>
        <v/>
      </c>
      <c r="H144" s="3" t="str">
        <f>IF(KENKO[[#This Row],[ID NOTA]]="","",INDEX([6]!NOTA[TGL.NOTA],MATCH(KENKO[[#This Row],[ID NOTA]],[6]!NOTA[ID],0)))</f>
        <v/>
      </c>
      <c r="I144" s="19" t="str">
        <f>IF(KENKO[[#This Row],[ID NOTA]]="","",INDEX([6]!NOTA[NO.NOTA],MATCH(KENKO[[#This Row],[ID NOTA]],[6]!NOTA[ID],0)))</f>
        <v/>
      </c>
      <c r="J144" s="4" t="s">
        <v>177</v>
      </c>
      <c r="K144" s="6" t="str">
        <f>""</f>
        <v/>
      </c>
      <c r="L144" s="6">
        <f ca="1">IF(KENKO[//]="","",IF(INDEX([6]!NOTA[QTY],KENKO[//]-2)="",INDEX([6]!NOTA[C],KENKO[//]-2),INDEX([6]!NOTA[QTY],KENKO[//]-2)))</f>
        <v>10</v>
      </c>
      <c r="M144" s="6" t="str">
        <f ca="1">IF(KENKO[//]="","",IF(INDEX([6]!NOTA[STN],KENKO[//]-2)="","CTN",INDEX([6]!NOTA[STN],KENKO[//]-2)))</f>
        <v>CTN</v>
      </c>
      <c r="N144" s="5">
        <f ca="1">IF(KENKO[[#This Row],[//]]="","",IF(INDEX([6]!NOTA[HARGA/ CTN],KENKO[[#This Row],[//]]-2)="",INDEX([6]!NOTA[HARGA SATUAN],KENKO[//]-2),INDEX([6]!NOTA[HARGA/ CTN],KENKO[[#This Row],[//]]-2)))</f>
        <v>3110400</v>
      </c>
      <c r="O144" s="8">
        <f ca="1">IF(KENKO[[#This Row],[//]]="","",INDEX([6]!NOTA[DISC 1],KENKO[[#This Row],[//]]-2))</f>
        <v>0.17</v>
      </c>
      <c r="P144" s="8">
        <f ca="1">IF(KENKO[[#This Row],[//]]="","",INDEX([6]!NOTA[DISC 2],KENKO[[#This Row],[//]]-2))</f>
        <v>0</v>
      </c>
      <c r="Q144" s="5">
        <f ca="1">IF(KENKO[[#This Row],[//]]="","",INDEX([6]!NOTA[JUMLAH],KENKO[[#This Row],[//]]-2)*(100%-IF(ISNUMBER(KENKO[[#This Row],[DISC 1 (%)]]),KENKO[[#This Row],[DISC 1 (%)]],0)))</f>
        <v>25816320</v>
      </c>
      <c r="R1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Row],[//]]="","",INDEX([6]!NOTA[NAMA BARANG],KENKO[[#This Row],[//]]-2))</f>
        <v>KENKO GEL PEN KE-303 T-GEL TRIANGULAR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44" s="4" t="s">
        <v>137</v>
      </c>
      <c r="X144" s="4" t="str">
        <f ca="1">IF(KENKO[[#This Row],[N.B.nota]]="","",ADDRESS(ROW(KENKO[QB]),COLUMN(KENKO[QB]))&amp;":"&amp;ADDRESS(ROW(),COLUMN(KENKO[QB])))</f>
        <v>$D$3:$D$144</v>
      </c>
      <c r="Y144" s="22" t="str">
        <f ca="1">IF(KENKO[[#This Row],[//]]="","",HYPERLINK("[..\\DB.xlsx]DB!e"&amp;MATCH(KENKO[[#This Row],[concat]],[4]!db[NB NOTA_C],0)+1,"&gt;"))</f>
        <v>&gt;</v>
      </c>
    </row>
    <row r="145" spans="1:25" x14ac:dyDescent="0.25">
      <c r="A145" s="19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NOTA]]="","",HYPERLINK("[NOTA_.xlsx]NOTA!e"&amp;INDEX([6]!PAJAK[//],MATCH(KENKO[[#This Row],[ID NOTA]],[6]!PAJAK[ID],0)),"&gt;")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648</v>
      </c>
      <c r="F145" s="6" t="str">
        <f>IF(KENKO[[#This Row],[NO. NOTA]]="","",INDEX([5]KE!$A:$A,MATCH(KENKO[[#This Row],[NO. NOTA]],[5]KE!$D:$D,0)))</f>
        <v/>
      </c>
      <c r="G145" s="3" t="str">
        <f>IF(KENKO[[#This Row],[ID NOTA]]="","",INDEX([6]!NOTA[TGL_H],MATCH(KENKO[[#This Row],[ID NOTA]],[6]!NOTA[ID],0)))</f>
        <v/>
      </c>
      <c r="H145" s="3" t="str">
        <f>IF(KENKO[[#This Row],[ID NOTA]]="","",INDEX([6]!NOTA[TGL.NOTA],MATCH(KENKO[[#This Row],[ID NOTA]],[6]!NOTA[ID],0)))</f>
        <v/>
      </c>
      <c r="I145" s="19" t="str">
        <f>IF(KENKO[[#This Row],[ID NOTA]]="","",INDEX([6]!NOTA[NO.NOTA],MATCH(KENKO[[#This Row],[ID NOTA]],[6]!NOTA[ID],0)))</f>
        <v/>
      </c>
      <c r="J145" s="4" t="s">
        <v>170</v>
      </c>
      <c r="K145" s="6" t="str">
        <f>""</f>
        <v/>
      </c>
      <c r="L145" s="6">
        <f ca="1">IF(KENKO[//]="","",IF(INDEX([6]!NOTA[QTY],KENKO[//]-2)="",INDEX([6]!NOTA[C],KENKO[//]-2),INDEX([6]!NOTA[QTY],KENKO[//]-2)))</f>
        <v>6</v>
      </c>
      <c r="M145" s="6" t="str">
        <f ca="1">IF(KENKO[//]="","",IF(INDEX([6]!NOTA[STN],KENKO[//]-2)="","CTN",INDEX([6]!NOTA[STN],KENKO[//]-2)))</f>
        <v>CTN</v>
      </c>
      <c r="N145" s="5">
        <f ca="1">IF(KENKO[[#This Row],[//]]="","",IF(INDEX([6]!NOTA[HARGA/ CTN],KENKO[[#This Row],[//]]-2)="",INDEX([6]!NOTA[HARGA SATUAN],KENKO[//]-2),INDEX([6]!NOTA[HARGA/ CTN],KENKO[[#This Row],[//]]-2)))</f>
        <v>3758400</v>
      </c>
      <c r="O145" s="8">
        <f ca="1">IF(KENKO[[#This Row],[//]]="","",INDEX([6]!NOTA[DISC 1],KENKO[[#This Row],[//]]-2))</f>
        <v>0.17</v>
      </c>
      <c r="P145" s="8">
        <f ca="1">IF(KENKO[[#This Row],[//]]="","",INDEX([6]!NOTA[DISC 2],KENKO[[#This Row],[//]]-2))</f>
        <v>0</v>
      </c>
      <c r="Q145" s="5">
        <f ca="1">IF(KENKO[[#This Row],[//]]="","",INDEX([6]!NOTA[JUMLAH],KENKO[[#This Row],[//]]-2)*(100%-IF(ISNUMBER(KENKO[[#This Row],[DISC 1 (%)]]),KENKO[[#This Row],[DISC 1 (%)]],0)))</f>
        <v>18716832</v>
      </c>
      <c r="R14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9486408</v>
      </c>
      <c r="S14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46315992</v>
      </c>
      <c r="T14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Row],[//]]="","",INDEX([6]!NOTA[NAMA BARANG],KENKO[[#This Row],[//]]-2))</f>
        <v>KENKO GEL PEN EASY GEL BLACK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45" s="4" t="s">
        <v>137</v>
      </c>
      <c r="X145" s="4" t="str">
        <f ca="1">IF(KENKO[[#This Row],[N.B.nota]]="","",ADDRESS(ROW(KENKO[QB]),COLUMN(KENKO[QB]))&amp;":"&amp;ADDRESS(ROW(),COLUMN(KENKO[QB])))</f>
        <v>$D$3:$D$145</v>
      </c>
      <c r="Y145" s="22" t="str">
        <f ca="1">IF(KENKO[[#This Row],[//]]="","",HYPERLINK("[..\\DB.xlsx]DB!e"&amp;MATCH(KENKO[[#This Row],[concat]],[4]!db[NB NOTA_C],0)+1,"&gt;"))</f>
        <v>&gt;</v>
      </c>
    </row>
    <row r="146" spans="1:25" x14ac:dyDescent="0.25">
      <c r="A146" s="19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NOTA]]="","",HYPERLINK("[NOTA_.xlsx]NOTA!e"&amp;INDEX([6]!PAJAK[//],MATCH(KENKO[[#This Row],[ID NOTA]],[6]!PAJAK[ID],0)),"&gt;") )</f>
        <v/>
      </c>
      <c r="D146" s="6" t="str">
        <f>IF(KENKO[[#This Row],[ID NOTA]]="","",INDEX(Table1[QB],MATCH(KENKO[[#This Row],[ID NOTA]],Table1[ID],0)))</f>
        <v/>
      </c>
      <c r="E14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6" s="6" t="str">
        <f>IF(KENKO[[#This Row],[NO. NOTA]]="","",INDEX([5]KE!$A:$A,MATCH(KENKO[[#This Row],[NO. NOTA]],[5]KE!$D:$D,0)))</f>
        <v/>
      </c>
      <c r="G146" s="3" t="str">
        <f>IF(KENKO[[#This Row],[ID NOTA]]="","",INDEX([6]!NOTA[TGL_H],MATCH(KENKO[[#This Row],[ID NOTA]],[6]!NOTA[ID],0)))</f>
        <v/>
      </c>
      <c r="H146" s="3" t="str">
        <f>IF(KENKO[[#This Row],[ID NOTA]]="","",INDEX([6]!NOTA[TGL.NOTA],MATCH(KENKO[[#This Row],[ID NOTA]],[6]!NOTA[ID],0)))</f>
        <v/>
      </c>
      <c r="I146" s="19" t="str">
        <f>IF(KENKO[[#This Row],[ID NOTA]]="","",INDEX([6]!NOTA[NO.NOTA],MATCH(KENKO[[#This Row],[ID NOTA]],[6]!NOTA[ID],0)))</f>
        <v/>
      </c>
      <c r="J146" s="4" t="s">
        <v>136</v>
      </c>
      <c r="K146" s="6" t="str">
        <f>""</f>
        <v/>
      </c>
      <c r="L146" s="6" t="str">
        <f ca="1">IF(KENKO[//]="","",IF(INDEX([6]!NOTA[QTY],KENKO[//]-2)="",INDEX([6]!NOTA[C],KENKO[//]-2),INDEX([6]!NOTA[QTY],KENKO[//]-2)))</f>
        <v/>
      </c>
      <c r="M146" s="6" t="str">
        <f ca="1">IF(KENKO[//]="","",IF(INDEX([6]!NOTA[STN],KENKO[//]-2)="","CTN",INDEX([6]!NOTA[STN],KENKO[//]-2)))</f>
        <v/>
      </c>
      <c r="N146" s="5" t="str">
        <f ca="1">IF(KENKO[[#This Row],[//]]="","",IF(INDEX([6]!NOTA[HARGA/ CTN],KENKO[[#This Row],[//]]-2)="",INDEX([6]!NOTA[HARGA SATUAN],KENKO[//]-2),INDEX([6]!NOTA[HARGA/ CTN],KENKO[[#This Row],[//]]-2)))</f>
        <v/>
      </c>
      <c r="O146" s="8" t="str">
        <f ca="1">IF(KENKO[[#This Row],[//]]="","",INDEX([6]!NOTA[DISC 1],KENKO[[#This Row],[//]]-2))</f>
        <v/>
      </c>
      <c r="P146" s="8" t="str">
        <f ca="1">IF(KENKO[[#This Row],[//]]="","",INDEX([6]!NOTA[DISC 2],KENKO[[#This Row],[//]]-2))</f>
        <v/>
      </c>
      <c r="Q146" s="5" t="str">
        <f ca="1">IF(KENKO[[#This Row],[//]]="","",INDEX([6]!NOTA[JUMLAH],KENKO[[#This Row],[//]]-2)*(100%-IF(ISNUMBER(KENKO[[#This Row],[DISC 1 (%)]]),KENKO[[#This Row],[DISC 1 (%)]],0)))</f>
        <v/>
      </c>
      <c r="R14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Row],[//]]="","",INDEX([6]!NOTA[NAMA BARANG],KENKO[[#This Row],[//]]-2))</f>
        <v/>
      </c>
      <c r="V146" s="4" t="str">
        <f ca="1">LOWER(SUBSTITUTE(SUBSTITUTE(SUBSTITUTE(SUBSTITUTE(SUBSTITUTE(SUBSTITUTE(SUBSTITUTE(SUBSTITUTE(KENKO[[#This Row],[N.B.nota]]," ",""),"-",""),"(",""),")",""),".",""),",",""),"/",""),"""",""))</f>
        <v/>
      </c>
      <c r="W146" s="4" t="s">
        <v>136</v>
      </c>
      <c r="X146" s="4" t="str">
        <f ca="1">IF(KENKO[[#This Row],[N.B.nota]]="","",ADDRESS(ROW(KENKO[QB]),COLUMN(KENKO[QB]))&amp;":"&amp;ADDRESS(ROW(),COLUMN(KENKO[QB])))</f>
        <v/>
      </c>
      <c r="Y146" s="22" t="str">
        <f ca="1">IF(KENKO[[#This Row],[//]]="","",HYPERLINK("[..\\DB.xlsx]DB!e"&amp;MATCH(KENKO[[#This Row],[concat]],[4]!db[NB NOTA_C],0)+1,"&gt;"))</f>
        <v/>
      </c>
    </row>
    <row r="147" spans="1:25" x14ac:dyDescent="0.25">
      <c r="A147" s="19" t="s">
        <v>87</v>
      </c>
      <c r="B147" s="6">
        <f ca="1">IF(KENKO[[#This Row],[N_ID]]="","",INDEX(Table1[ID],MATCH(KENKO[[#This Row],[N_ID]],Table1[N_ID],0)))</f>
        <v>120</v>
      </c>
      <c r="C147" s="6" t="str">
        <f ca="1">IF(KENKO[[#This Row],[ID NOTA]]="","",HYPERLINK("[NOTA_.xlsx]NOTA!e"&amp;INDEX([6]!PAJAK[//],MATCH(KENKO[[#This Row],[ID NOTA]],[6]!PAJAK[ID],0)),"&gt;") )</f>
        <v>&gt;</v>
      </c>
      <c r="D147" s="6">
        <f ca="1">IF(KENKO[[#This Row],[ID NOTA]]="","",INDEX(Table1[QB],MATCH(KENKO[[#This Row],[ID NOTA]],Table1[ID],0)))</f>
        <v>1</v>
      </c>
      <c r="E14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629</v>
      </c>
      <c r="F147" s="6" t="e">
        <f ca="1">IF(KENKO[[#This Row],[NO. NOTA]]="","",INDEX([5]KE!$A:$A,MATCH(KENKO[[#This Row],[NO. NOTA]],[5]KE!$D:$D,0)))</f>
        <v>#N/A</v>
      </c>
      <c r="G147" s="3">
        <f ca="1">IF(KENKO[[#This Row],[ID NOTA]]="","",INDEX([6]!NOTA[TGL_H],MATCH(KENKO[[#This Row],[ID NOTA]],[6]!NOTA[ID],0)))</f>
        <v>44762</v>
      </c>
      <c r="H147" s="3">
        <f ca="1">IF(KENKO[[#This Row],[ID NOTA]]="","",INDEX([6]!NOTA[TGL.NOTA],MATCH(KENKO[[#This Row],[ID NOTA]],[6]!NOTA[ID],0)))</f>
        <v>44758</v>
      </c>
      <c r="I147" s="19" t="str">
        <f ca="1">IF(KENKO[[#This Row],[ID NOTA]]="","",INDEX([6]!NOTA[NO.NOTA],MATCH(KENKO[[#This Row],[ID NOTA]],[6]!NOTA[ID],0)))</f>
        <v>22071517</v>
      </c>
      <c r="J147" s="4" t="s">
        <v>197</v>
      </c>
      <c r="K147" s="6" t="str">
        <f>""</f>
        <v/>
      </c>
      <c r="L147" s="6">
        <f ca="1">IF(KENKO[//]="","",IF(INDEX([6]!NOTA[QTY],KENKO[//]-2)="",INDEX([6]!NOTA[C],KENKO[//]-2),INDEX([6]!NOTA[QTY],KENKO[//]-2)))</f>
        <v>5</v>
      </c>
      <c r="M147" s="6" t="str">
        <f ca="1">IF(KENKO[//]="","",IF(INDEX([6]!NOTA[STN],KENKO[//]-2)="","CTN",INDEX([6]!NOTA[STN],KENKO[//]-2)))</f>
        <v>CTN</v>
      </c>
      <c r="N147" s="5">
        <f ca="1">IF(KENKO[[#This Row],[//]]="","",IF(INDEX([6]!NOTA[HARGA/ CTN],KENKO[[#This Row],[//]]-2)="",INDEX([6]!NOTA[HARGA SATUAN],KENKO[//]-2),INDEX([6]!NOTA[HARGA/ CTN],KENKO[[#This Row],[//]]-2)))</f>
        <v>900000</v>
      </c>
      <c r="O147" s="8">
        <f ca="1">IF(KENKO[[#This Row],[//]]="","",INDEX([6]!NOTA[DISC 1],KENKO[[#This Row],[//]]-2))</f>
        <v>0.17</v>
      </c>
      <c r="P147" s="8">
        <f ca="1">IF(KENKO[[#This Row],[//]]="","",INDEX([6]!NOTA[DISC 2],KENKO[[#This Row],[//]]-2))</f>
        <v>0</v>
      </c>
      <c r="Q147" s="5">
        <f ca="1">IF(KENKO[[#This Row],[//]]="","",INDEX([6]!NOTA[JUMLAH],KENKO[[#This Row],[//]]-2)*(100%-IF(ISNUMBER(KENKO[[#This Row],[DISC 1 (%)]]),KENKO[[#This Row],[DISC 1 (%)]],0)))</f>
        <v>3735000</v>
      </c>
      <c r="R14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765000</v>
      </c>
      <c r="S14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3735000</v>
      </c>
      <c r="T14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Row],[//]]="","",INDEX([6]!NOTA[NAMA BARANG],KENKO[[#This Row],[//]]-2))</f>
        <v>KENKO BINDER CLIP NO.260</v>
      </c>
      <c r="V147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47" s="4" t="s">
        <v>137</v>
      </c>
      <c r="X147" s="4" t="str">
        <f ca="1">IF(KENKO[[#This Row],[N.B.nota]]="","",ADDRESS(ROW(KENKO[QB]),COLUMN(KENKO[QB]))&amp;":"&amp;ADDRESS(ROW(),COLUMN(KENKO[QB])))</f>
        <v>$D$3:$D$147</v>
      </c>
      <c r="Y147" s="22" t="str">
        <f ca="1">IF(KENKO[[#This Row],[//]]="","",HYPERLINK("[..\\DB.xlsx]DB!e"&amp;MATCH(KENKO[[#This Row],[concat]],[4]!db[NB NOTA_C],0)+1,"&gt;"))</f>
        <v>&gt;</v>
      </c>
    </row>
    <row r="148" spans="1:25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NOTA]]="","",HYPERLINK("[NOTA_.xlsx]NOTA!e"&amp;INDEX([6]!PAJAK[//],MATCH(KENKO[[#This Row],[ID NOTA]],[6]!PAJAK[ID],0)),"&gt;") )</f>
        <v/>
      </c>
      <c r="D148" s="6" t="str">
        <f>IF(KENKO[[#This Row],[ID NOTA]]="","",INDEX(Table1[QB],MATCH(KENKO[[#This Row],[ID NOTA]],Table1[ID],0)))</f>
        <v/>
      </c>
      <c r="E14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8" s="6" t="str">
        <f>IF(KENKO[[#This Row],[NO. NOTA]]="","",INDEX([5]KE!$A:$A,MATCH(KENKO[[#This Row],[NO. NOTA]],[5]KE!$D:$D,0)))</f>
        <v/>
      </c>
      <c r="G148" s="3" t="str">
        <f>IF(KENKO[[#This Row],[ID NOTA]]="","",INDEX([6]!NOTA[TGL_H],MATCH(KENKO[[#This Row],[ID NOTA]],[6]!NOTA[ID],0)))</f>
        <v/>
      </c>
      <c r="H148" s="3" t="str">
        <f>IF(KENKO[[#This Row],[ID NOTA]]="","",INDEX([6]!NOTA[TGL.NOTA],MATCH(KENKO[[#This Row],[ID NOTA]],[6]!NOTA[ID],0)))</f>
        <v/>
      </c>
      <c r="I148" s="19" t="str">
        <f>IF(KENKO[[#This Row],[ID NOTA]]="","",INDEX([6]!NOTA[NO.NOTA],MATCH(KENKO[[#This Row],[ID NOTA]],[6]!NOTA[ID],0)))</f>
        <v/>
      </c>
      <c r="J148" s="4" t="s">
        <v>136</v>
      </c>
      <c r="K148" s="6" t="str">
        <f>""</f>
        <v/>
      </c>
      <c r="L148" s="6" t="str">
        <f ca="1">IF(KENKO[//]="","",IF(INDEX([6]!NOTA[QTY],KENKO[//]-2)="",INDEX([6]!NOTA[C],KENKO[//]-2),INDEX([6]!NOTA[QTY],KENKO[//]-2)))</f>
        <v/>
      </c>
      <c r="M148" s="6" t="str">
        <f ca="1">IF(KENKO[//]="","",IF(INDEX([6]!NOTA[STN],KENKO[//]-2)="","CTN",INDEX([6]!NOTA[STN],KENKO[//]-2)))</f>
        <v/>
      </c>
      <c r="N148" s="5" t="str">
        <f ca="1">IF(KENKO[[#This Row],[//]]="","",IF(INDEX([6]!NOTA[HARGA/ CTN],KENKO[[#This Row],[//]]-2)="",INDEX([6]!NOTA[HARGA SATUAN],KENKO[//]-2),INDEX([6]!NOTA[HARGA/ CTN],KENKO[[#This Row],[//]]-2)))</f>
        <v/>
      </c>
      <c r="O148" s="8" t="str">
        <f ca="1">IF(KENKO[[#This Row],[//]]="","",INDEX([6]!NOTA[DISC 1],KENKO[[#This Row],[//]]-2))</f>
        <v/>
      </c>
      <c r="P148" s="8" t="str">
        <f ca="1">IF(KENKO[[#This Row],[//]]="","",INDEX([6]!NOTA[DISC 2],KENKO[[#This Row],[//]]-2))</f>
        <v/>
      </c>
      <c r="Q148" s="5" t="str">
        <f ca="1">IF(KENKO[[#This Row],[//]]="","",INDEX([6]!NOTA[JUMLAH],KENKO[[#This Row],[//]]-2)*(100%-IF(ISNUMBER(KENKO[[#This Row],[DISC 1 (%)]]),KENKO[[#This Row],[DISC 1 (%)]],0)))</f>
        <v/>
      </c>
      <c r="R1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Row],[//]]="","",INDEX([6]!NOTA[NAMA BARANG],KENKO[[#This Row],[//]]-2))</f>
        <v/>
      </c>
      <c r="V148" s="4" t="str">
        <f ca="1">LOWER(SUBSTITUTE(SUBSTITUTE(SUBSTITUTE(SUBSTITUTE(SUBSTITUTE(SUBSTITUTE(SUBSTITUTE(SUBSTITUTE(KENKO[[#This Row],[N.B.nota]]," ",""),"-",""),"(",""),")",""),".",""),",",""),"/",""),"""",""))</f>
        <v/>
      </c>
      <c r="W148" s="4" t="s">
        <v>136</v>
      </c>
      <c r="X148" s="4" t="str">
        <f ca="1">IF(KENKO[[#This Row],[N.B.nota]]="","",ADDRESS(ROW(KENKO[QB]),COLUMN(KENKO[QB]))&amp;":"&amp;ADDRESS(ROW(),COLUMN(KENKO[QB])))</f>
        <v/>
      </c>
      <c r="Y148" s="22" t="str">
        <f ca="1">IF(KENKO[[#This Row],[//]]="","",HYPERLINK("[..\\DB.xlsx]DB!e"&amp;MATCH(KENKO[[#This Row],[concat]],[4]!db[NB NOTA_C],0)+1,"&gt;"))</f>
        <v/>
      </c>
    </row>
    <row r="149" spans="1:25" x14ac:dyDescent="0.25">
      <c r="A149" s="4" t="s">
        <v>90</v>
      </c>
      <c r="B149" s="6">
        <f ca="1">IF(KENKO[[#This Row],[N_ID]]="","",INDEX(Table1[ID],MATCH(KENKO[[#This Row],[N_ID]],Table1[N_ID],0)))</f>
        <v>111</v>
      </c>
      <c r="C149" s="6" t="str">
        <f ca="1">IF(KENKO[[#This Row],[ID NOTA]]="","",HYPERLINK("[NOTA_.xlsx]NOTA!e"&amp;INDEX([6]!PAJAK[//],MATCH(KENKO[[#This Row],[ID NOTA]],[6]!PAJAK[ID],0)),"&gt;") )</f>
        <v>&gt;</v>
      </c>
      <c r="D149" s="6">
        <f ca="1">IF(KENKO[[#This Row],[ID NOTA]]="","",INDEX(Table1[QB],MATCH(KENKO[[#This Row],[ID NOTA]],Table1[ID],0)))</f>
        <v>10</v>
      </c>
      <c r="E14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577</v>
      </c>
      <c r="F149" s="6" t="e">
        <f ca="1">IF(KENKO[[#This Row],[NO. NOTA]]="","",INDEX([5]KE!$A:$A,MATCH(KENKO[[#This Row],[NO. NOTA]],[5]KE!$D:$D,0)))</f>
        <v>#N/A</v>
      </c>
      <c r="G149" s="3">
        <f ca="1">IF(KENKO[[#This Row],[ID NOTA]]="","",INDEX([6]!NOTA[TGL_H],MATCH(KENKO[[#This Row],[ID NOTA]],[6]!NOTA[ID],0)))</f>
        <v>44762</v>
      </c>
      <c r="H149" s="3">
        <f ca="1">IF(KENKO[[#This Row],[ID NOTA]]="","",INDEX([6]!NOTA[TGL.NOTA],MATCH(KENKO[[#This Row],[ID NOTA]],[6]!NOTA[ID],0)))</f>
        <v>44760</v>
      </c>
      <c r="I149" s="19" t="str">
        <f ca="1">IF(KENKO[[#This Row],[ID NOTA]]="","",INDEX([6]!NOTA[NO.NOTA],MATCH(KENKO[[#This Row],[ID NOTA]],[6]!NOTA[ID],0)))</f>
        <v>22071603</v>
      </c>
      <c r="J149" s="4" t="s">
        <v>230</v>
      </c>
      <c r="K149" s="6" t="str">
        <f>""</f>
        <v/>
      </c>
      <c r="L149" s="6">
        <f ca="1">IF(KENKO[//]="","",IF(INDEX([6]!NOTA[QTY],KENKO[//]-2)="",INDEX([6]!NOTA[C],KENKO[//]-2),INDEX([6]!NOTA[QTY],KENKO[//]-2)))</f>
        <v>24</v>
      </c>
      <c r="M149" s="6" t="str">
        <f ca="1">IF(KENKO[//]="","",IF(INDEX([6]!NOTA[STN],KENKO[//]-2)="","CTN",INDEX([6]!NOTA[STN],KENKO[//]-2)))</f>
        <v>BOX</v>
      </c>
      <c r="N149" s="5">
        <f ca="1">IF(KENKO[[#This Row],[//]]="","",IF(INDEX([6]!NOTA[HARGA/ CTN],KENKO[[#This Row],[//]]-2)="",INDEX([6]!NOTA[HARGA SATUAN],KENKO[//]-2),INDEX([6]!NOTA[HARGA/ CTN],KENKO[[#This Row],[//]]-2)))</f>
        <v>30500</v>
      </c>
      <c r="O149" s="8">
        <f ca="1">IF(KENKO[[#This Row],[//]]="","",INDEX([6]!NOTA[DISC 1],KENKO[[#This Row],[//]]-2))</f>
        <v>0.17</v>
      </c>
      <c r="P149" s="8">
        <f ca="1">IF(KENKO[[#This Row],[//]]="","",INDEX([6]!NOTA[DISC 2],KENKO[[#This Row],[//]]-2))</f>
        <v>0</v>
      </c>
      <c r="Q149" s="5">
        <f ca="1">IF(KENKO[[#This Row],[//]]="","",INDEX([6]!NOTA[JUMLAH],KENKO[[#This Row],[//]]-2)*(100%-IF(ISNUMBER(KENKO[[#This Row],[DISC 1 (%)]]),KENKO[[#This Row],[DISC 1 (%)]],0)))</f>
        <v>607560</v>
      </c>
      <c r="R1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Row],[//]]="","",INDEX([6]!NOTA[NAMA BARANG],KENKO[[#This Row],[//]]-2))</f>
        <v>KENKO HIGHLIGHTER HL-100 GREEN</v>
      </c>
      <c r="V149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49" s="4" t="s">
        <v>137</v>
      </c>
      <c r="X149" s="4" t="str">
        <f ca="1">IF(KENKO[[#This Row],[N.B.nota]]="","",ADDRESS(ROW(KENKO[QB]),COLUMN(KENKO[QB]))&amp;":"&amp;ADDRESS(ROW(),COLUMN(KENKO[QB])))</f>
        <v>$D$3:$D$149</v>
      </c>
      <c r="Y149" s="22" t="str">
        <f ca="1">IF(KENKO[[#This Row],[//]]="","",HYPERLINK("[..\\DB.xlsx]DB!e"&amp;MATCH(KENKO[[#This Row],[concat]],[4]!db[NB NOTA_C],0)+1,"&gt;"))</f>
        <v>&gt;</v>
      </c>
    </row>
    <row r="150" spans="1:25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NOTA]]="","",HYPERLINK("[NOTA_.xlsx]NOTA!e"&amp;INDEX([6]!PAJAK[//],MATCH(KENKO[[#This Row],[ID NOTA]],[6]!PAJAK[ID],0)),"&gt;")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578</v>
      </c>
      <c r="F150" s="6" t="str">
        <f>IF(KENKO[[#This Row],[NO. NOTA]]="","",INDEX([5]KE!$A:$A,MATCH(KENKO[[#This Row],[NO. NOTA]],[5]KE!$D:$D,0)))</f>
        <v/>
      </c>
      <c r="G150" s="3" t="str">
        <f>IF(KENKO[[#This Row],[ID NOTA]]="","",INDEX([6]!NOTA[TGL_H],MATCH(KENKO[[#This Row],[ID NOTA]],[6]!NOTA[ID],0)))</f>
        <v/>
      </c>
      <c r="H150" s="3" t="str">
        <f>IF(KENKO[[#This Row],[ID NOTA]]="","",INDEX([6]!NOTA[TGL.NOTA],MATCH(KENKO[[#This Row],[ID NOTA]],[6]!NOTA[ID],0)))</f>
        <v/>
      </c>
      <c r="I150" s="19" t="str">
        <f>IF(KENKO[[#This Row],[ID NOTA]]="","",INDEX([6]!NOTA[NO.NOTA],MATCH(KENKO[[#This Row],[ID NOTA]],[6]!NOTA[ID],0)))</f>
        <v/>
      </c>
      <c r="J150" s="4" t="s">
        <v>231</v>
      </c>
      <c r="K150" s="6" t="str">
        <f>""</f>
        <v/>
      </c>
      <c r="L150" s="6">
        <f ca="1">IF(KENKO[//]="","",IF(INDEX([6]!NOTA[QTY],KENKO[//]-2)="",INDEX([6]!NOTA[C],KENKO[//]-2),INDEX([6]!NOTA[QTY],KENKO[//]-2)))</f>
        <v>24</v>
      </c>
      <c r="M150" s="6" t="str">
        <f ca="1">IF(KENKO[//]="","",IF(INDEX([6]!NOTA[STN],KENKO[//]-2)="","CTN",INDEX([6]!NOTA[STN],KENKO[//]-2)))</f>
        <v>BOX</v>
      </c>
      <c r="N150" s="5">
        <f ca="1">IF(KENKO[[#This Row],[//]]="","",IF(INDEX([6]!NOTA[HARGA/ CTN],KENKO[[#This Row],[//]]-2)="",INDEX([6]!NOTA[HARGA SATUAN],KENKO[//]-2),INDEX([6]!NOTA[HARGA/ CTN],KENKO[[#This Row],[//]]-2)))</f>
        <v>30500</v>
      </c>
      <c r="O150" s="8">
        <f ca="1">IF(KENKO[[#This Row],[//]]="","",INDEX([6]!NOTA[DISC 1],KENKO[[#This Row],[//]]-2))</f>
        <v>0.17</v>
      </c>
      <c r="P150" s="8">
        <f ca="1">IF(KENKO[[#This Row],[//]]="","",INDEX([6]!NOTA[DISC 2],KENKO[[#This Row],[//]]-2))</f>
        <v>0</v>
      </c>
      <c r="Q150" s="5">
        <f ca="1">IF(KENKO[[#This Row],[//]]="","",INDEX([6]!NOTA[JUMLAH],KENKO[[#This Row],[//]]-2)*(100%-IF(ISNUMBER(KENKO[[#This Row],[DISC 1 (%)]]),KENKO[[#This Row],[DISC 1 (%)]],0)))</f>
        <v>607560</v>
      </c>
      <c r="R1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Row],[//]]="","",INDEX([6]!NOTA[NAMA BARANG],KENKO[[#This Row],[//]]-2))</f>
        <v>KENKOHIGHLIGHTER HL-100 PINK</v>
      </c>
      <c r="V150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50" s="4" t="s">
        <v>137</v>
      </c>
      <c r="X150" s="4" t="str">
        <f ca="1">IF(KENKO[[#This Row],[N.B.nota]]="","",ADDRESS(ROW(KENKO[QB]),COLUMN(KENKO[QB]))&amp;":"&amp;ADDRESS(ROW(),COLUMN(KENKO[QB])))</f>
        <v>$D$3:$D$150</v>
      </c>
      <c r="Y150" s="22" t="str">
        <f ca="1">IF(KENKO[[#This Row],[//]]="","",HYPERLINK("[..\\DB.xlsx]DB!e"&amp;MATCH(KENKO[[#This Row],[concat]],[4]!db[NB NOTA_C],0)+1,"&gt;"))</f>
        <v>&gt;</v>
      </c>
    </row>
    <row r="151" spans="1:25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NOTA]]="","",HYPERLINK("[NOTA_.xlsx]NOTA!e"&amp;INDEX([6]!PAJAK[//],MATCH(KENKO[[#This Row],[ID NOTA]],[6]!PAJAK[ID],0)),"&gt;") )</f>
        <v/>
      </c>
      <c r="D151" s="6" t="str">
        <f>IF(KENKO[[#This Row],[ID NOTA]]="","",INDEX(Table1[QB],MATCH(KENKO[[#This Row],[ID NOTA]],Table1[ID],0)))</f>
        <v/>
      </c>
      <c r="E15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579</v>
      </c>
      <c r="F151" s="6" t="str">
        <f>IF(KENKO[[#This Row],[NO. NOTA]]="","",INDEX([5]KE!$A:$A,MATCH(KENKO[[#This Row],[NO. NOTA]],[5]KE!$D:$D,0)))</f>
        <v/>
      </c>
      <c r="G151" s="3" t="str">
        <f>IF(KENKO[[#This Row],[ID NOTA]]="","",INDEX([6]!NOTA[TGL_H],MATCH(KENKO[[#This Row],[ID NOTA]],[6]!NOTA[ID],0)))</f>
        <v/>
      </c>
      <c r="H151" s="3" t="str">
        <f>IF(KENKO[[#This Row],[ID NOTA]]="","",INDEX([6]!NOTA[TGL.NOTA],MATCH(KENKO[[#This Row],[ID NOTA]],[6]!NOTA[ID],0)))</f>
        <v/>
      </c>
      <c r="I151" s="19" t="str">
        <f>IF(KENKO[[#This Row],[ID NOTA]]="","",INDEX([6]!NOTA[NO.NOTA],MATCH(KENKO[[#This Row],[ID NOTA]],[6]!NOTA[ID],0)))</f>
        <v/>
      </c>
      <c r="J151" s="4" t="s">
        <v>225</v>
      </c>
      <c r="K151" s="6" t="str">
        <f>""</f>
        <v/>
      </c>
      <c r="L151" s="6">
        <f ca="1">IF(KENKO[//]="","",IF(INDEX([6]!NOTA[QTY],KENKO[//]-2)="",INDEX([6]!NOTA[C],KENKO[//]-2),INDEX([6]!NOTA[QTY],KENKO[//]-2)))</f>
        <v>1</v>
      </c>
      <c r="M151" s="6" t="str">
        <f ca="1">IF(KENKO[//]="","",IF(INDEX([6]!NOTA[STN],KENKO[//]-2)="","CTN",INDEX([6]!NOTA[STN],KENKO[//]-2)))</f>
        <v>CTN</v>
      </c>
      <c r="N151" s="5">
        <f ca="1">IF(KENKO[[#This Row],[//]]="","",IF(INDEX([6]!NOTA[HARGA/ CTN],KENKO[[#This Row],[//]]-2)="",INDEX([6]!NOTA[HARGA SATUAN],KENKO[//]-2),INDEX([6]!NOTA[HARGA/ CTN],KENKO[[#This Row],[//]]-2)))</f>
        <v>1998000</v>
      </c>
      <c r="O151" s="8">
        <f ca="1">IF(KENKO[[#This Row],[//]]="","",INDEX([6]!NOTA[DISC 1],KENKO[[#This Row],[//]]-2))</f>
        <v>0.17</v>
      </c>
      <c r="P151" s="8">
        <f ca="1">IF(KENKO[[#This Row],[//]]="","",INDEX([6]!NOTA[DISC 2],KENKO[[#This Row],[//]]-2))</f>
        <v>0</v>
      </c>
      <c r="Q151" s="5">
        <f ca="1">IF(KENKO[[#This Row],[//]]="","",INDEX([6]!NOTA[JUMLAH],KENKO[[#This Row],[//]]-2)*(100%-IF(ISNUMBER(KENKO[[#This Row],[DISC 1 (%)]]),KENKO[[#This Row],[DISC 1 (%)]],0)))</f>
        <v>1658340</v>
      </c>
      <c r="R1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Row],[//]]="","",INDEX([6]!NOTA[NAMA BARANG],KENKO[[#This Row],[//]]-2))</f>
        <v>KENKO CORRECTION FLUID KE-823M</v>
      </c>
      <c r="V151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1" s="4" t="s">
        <v>137</v>
      </c>
      <c r="X151" s="4" t="str">
        <f ca="1">IF(KENKO[[#This Row],[N.B.nota]]="","",ADDRESS(ROW(KENKO[QB]),COLUMN(KENKO[QB]))&amp;":"&amp;ADDRESS(ROW(),COLUMN(KENKO[QB])))</f>
        <v>$D$3:$D$151</v>
      </c>
      <c r="Y151" s="22" t="str">
        <f ca="1">IF(KENKO[[#This Row],[//]]="","",HYPERLINK("[..\\DB.xlsx]DB!e"&amp;MATCH(KENKO[[#This Row],[concat]],[4]!db[NB NOTA_C],0)+1,"&gt;"))</f>
        <v>&gt;</v>
      </c>
    </row>
    <row r="152" spans="1:25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NOTA]]="","",HYPERLINK("[NOTA_.xlsx]NOTA!e"&amp;INDEX([6]!PAJAK[//],MATCH(KENKO[[#This Row],[ID NOTA]],[6]!PAJAK[ID],0)),"&gt;")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580</v>
      </c>
      <c r="F152" s="6" t="str">
        <f>IF(KENKO[[#This Row],[NO. NOTA]]="","",INDEX([5]KE!$A:$A,MATCH(KENKO[[#This Row],[NO. NOTA]],[5]KE!$D:$D,0)))</f>
        <v/>
      </c>
      <c r="G152" s="3" t="str">
        <f>IF(KENKO[[#This Row],[ID NOTA]]="","",INDEX([6]!NOTA[TGL_H],MATCH(KENKO[[#This Row],[ID NOTA]],[6]!NOTA[ID],0)))</f>
        <v/>
      </c>
      <c r="H152" s="3" t="str">
        <f>IF(KENKO[[#This Row],[ID NOTA]]="","",INDEX([6]!NOTA[TGL.NOTA],MATCH(KENKO[[#This Row],[ID NOTA]],[6]!NOTA[ID],0)))</f>
        <v/>
      </c>
      <c r="I152" s="19" t="str">
        <f>IF(KENKO[[#This Row],[ID NOTA]]="","",INDEX([6]!NOTA[NO.NOTA],MATCH(KENKO[[#This Row],[ID NOTA]],[6]!NOTA[ID],0)))</f>
        <v/>
      </c>
      <c r="J152" s="4" t="s">
        <v>234</v>
      </c>
      <c r="K152" s="6" t="str">
        <f>""</f>
        <v/>
      </c>
      <c r="L152" s="6">
        <f ca="1">IF(KENKO[//]="","",IF(INDEX([6]!NOTA[QTY],KENKO[//]-2)="",INDEX([6]!NOTA[C],KENKO[//]-2),INDEX([6]!NOTA[QTY],KENKO[//]-2)))</f>
        <v>10</v>
      </c>
      <c r="M152" s="6" t="str">
        <f ca="1">IF(KENKO[//]="","",IF(INDEX([6]!NOTA[STN],KENKO[//]-2)="","CTN",INDEX([6]!NOTA[STN],KENKO[//]-2)))</f>
        <v>CTN</v>
      </c>
      <c r="N152" s="5">
        <f ca="1">IF(KENKO[[#This Row],[//]]="","",IF(INDEX([6]!NOTA[HARGA/ CTN],KENKO[[#This Row],[//]]-2)="",INDEX([6]!NOTA[HARGA SATUAN],KENKO[//]-2),INDEX([6]!NOTA[HARGA/ CTN],KENKO[[#This Row],[//]]-2)))</f>
        <v>3888000</v>
      </c>
      <c r="O152" s="8">
        <f ca="1">IF(KENKO[[#This Row],[//]]="","",INDEX([6]!NOTA[DISC 1],KENKO[[#This Row],[//]]-2))</f>
        <v>0.17</v>
      </c>
      <c r="P152" s="8">
        <f ca="1">IF(KENKO[[#This Row],[//]]="","",INDEX([6]!NOTA[DISC 2],KENKO[[#This Row],[//]]-2))</f>
        <v>0</v>
      </c>
      <c r="Q152" s="5">
        <f ca="1">IF(KENKO[[#This Row],[//]]="","",INDEX([6]!NOTA[JUMLAH],KENKO[[#This Row],[//]]-2)*(100%-IF(ISNUMBER(KENKO[[#This Row],[DISC 1 (%)]]),KENKO[[#This Row],[DISC 1 (%)]],0)))</f>
        <v>32270400</v>
      </c>
      <c r="R1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Row],[//]]="","",INDEX([6]!NOTA[NAMA BARANG],KENKO[[#This Row],[//]]-2))</f>
        <v>KENKO CUTTER BLADE L-150 (18MM)</v>
      </c>
      <c r="V152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2" s="4" t="s">
        <v>137</v>
      </c>
      <c r="X152" s="4" t="str">
        <f ca="1">IF(KENKO[[#This Row],[N.B.nota]]="","",ADDRESS(ROW(KENKO[QB]),COLUMN(KENKO[QB]))&amp;":"&amp;ADDRESS(ROW(),COLUMN(KENKO[QB])))</f>
        <v>$D$3:$D$152</v>
      </c>
      <c r="Y152" s="22" t="str">
        <f ca="1">IF(KENKO[[#This Row],[//]]="","",HYPERLINK("[..\\DB.xlsx]DB!e"&amp;MATCH(KENKO[[#This Row],[concat]],[4]!db[NB NOTA_C],0)+1,"&gt;"))</f>
        <v>&gt;</v>
      </c>
    </row>
    <row r="153" spans="1:25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NOTA]]="","",HYPERLINK("[NOTA_.xlsx]NOTA!e"&amp;INDEX([6]!PAJAK[//],MATCH(KENKO[[#This Row],[ID NOTA]],[6]!PAJAK[ID],0)),"&gt;")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581</v>
      </c>
      <c r="F153" s="6" t="str">
        <f>IF(KENKO[[#This Row],[NO. NOTA]]="","",INDEX([5]KE!$A:$A,MATCH(KENKO[[#This Row],[NO. NOTA]],[5]KE!$D:$D,0)))</f>
        <v/>
      </c>
      <c r="G153" s="3" t="str">
        <f>IF(KENKO[[#This Row],[ID NOTA]]="","",INDEX([6]!NOTA[TGL_H],MATCH(KENKO[[#This Row],[ID NOTA]],[6]!NOTA[ID],0)))</f>
        <v/>
      </c>
      <c r="H153" s="3" t="str">
        <f>IF(KENKO[[#This Row],[ID NOTA]]="","",INDEX([6]!NOTA[TGL.NOTA],MATCH(KENKO[[#This Row],[ID NOTA]],[6]!NOTA[ID],0)))</f>
        <v/>
      </c>
      <c r="I153" s="19" t="str">
        <f>IF(KENKO[[#This Row],[ID NOTA]]="","",INDEX([6]!NOTA[NO.NOTA],MATCH(KENKO[[#This Row],[ID NOTA]],[6]!NOTA[ID],0)))</f>
        <v/>
      </c>
      <c r="J153" s="4" t="s">
        <v>168</v>
      </c>
      <c r="K153" s="6" t="str">
        <f>""</f>
        <v/>
      </c>
      <c r="L153" s="6">
        <f ca="1">IF(KENKO[//]="","",IF(INDEX([6]!NOTA[QTY],KENKO[//]-2)="",INDEX([6]!NOTA[C],KENKO[//]-2),INDEX([6]!NOTA[QTY],KENKO[//]-2)))</f>
        <v>5</v>
      </c>
      <c r="M153" s="6" t="str">
        <f ca="1">IF(KENKO[//]="","",IF(INDEX([6]!NOTA[STN],KENKO[//]-2)="","CTN",INDEX([6]!NOTA[STN],KENKO[//]-2)))</f>
        <v>CTN</v>
      </c>
      <c r="N153" s="5">
        <f ca="1">IF(KENKO[[#This Row],[//]]="","",IF(INDEX([6]!NOTA[HARGA/ CTN],KENKO[[#This Row],[//]]-2)="",INDEX([6]!NOTA[HARGA SATUAN],KENKO[//]-2),INDEX([6]!NOTA[HARGA/ CTN],KENKO[[#This Row],[//]]-2)))</f>
        <v>5356800</v>
      </c>
      <c r="O153" s="8">
        <f ca="1">IF(KENKO[[#This Row],[//]]="","",INDEX([6]!NOTA[DISC 1],KENKO[[#This Row],[//]]-2))</f>
        <v>0.17</v>
      </c>
      <c r="P153" s="8">
        <f ca="1">IF(KENKO[[#This Row],[//]]="","",INDEX([6]!NOTA[DISC 2],KENKO[[#This Row],[//]]-2))</f>
        <v>0</v>
      </c>
      <c r="Q153" s="5">
        <f ca="1">IF(KENKO[[#This Row],[//]]="","",INDEX([6]!NOTA[JUMLAH],KENKO[[#This Row],[//]]-2)*(100%-IF(ISNUMBER(KENKO[[#This Row],[DISC 1 (%)]]),KENKO[[#This Row],[DISC 1 (%)]],0)))</f>
        <v>22230720</v>
      </c>
      <c r="R1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Row],[//]]="","",INDEX([6]!NOTA[NAMA BARANG],KENKO[[#This Row],[//]]-2))</f>
        <v>KENKO GEL PEN HI-TECH-H 0.28MM BLACK</v>
      </c>
      <c r="V15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53" s="4" t="s">
        <v>137</v>
      </c>
      <c r="X153" s="4" t="str">
        <f ca="1">IF(KENKO[[#This Row],[N.B.nota]]="","",ADDRESS(ROW(KENKO[QB]),COLUMN(KENKO[QB]))&amp;":"&amp;ADDRESS(ROW(),COLUMN(KENKO[QB])))</f>
        <v>$D$3:$D$153</v>
      </c>
      <c r="Y153" s="22" t="str">
        <f ca="1">IF(KENKO[[#This Row],[//]]="","",HYPERLINK("[..\\DB.xlsx]DB!e"&amp;MATCH(KENKO[[#This Row],[concat]],[4]!db[NB NOTA_C],0)+1,"&gt;"))</f>
        <v>&gt;</v>
      </c>
    </row>
    <row r="154" spans="1:25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NOTA]]="","",HYPERLINK("[NOTA_.xlsx]NOTA!e"&amp;INDEX([6]!PAJAK[//],MATCH(KENKO[[#This Row],[ID NOTA]],[6]!PAJAK[ID],0)),"&gt;") )</f>
        <v/>
      </c>
      <c r="D154" s="6" t="str">
        <f>IF(KENKO[[#This Row],[ID NOTA]]="","",INDEX(Table1[QB],MATCH(KENKO[[#This Row],[ID NOTA]],Table1[ID],0)))</f>
        <v/>
      </c>
      <c r="E15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582</v>
      </c>
      <c r="F154" s="6" t="str">
        <f>IF(KENKO[[#This Row],[NO. NOTA]]="","",INDEX([5]KE!$A:$A,MATCH(KENKO[[#This Row],[NO. NOTA]],[5]KE!$D:$D,0)))</f>
        <v/>
      </c>
      <c r="G154" s="3" t="str">
        <f>IF(KENKO[[#This Row],[ID NOTA]]="","",INDEX([6]!NOTA[TGL_H],MATCH(KENKO[[#This Row],[ID NOTA]],[6]!NOTA[ID],0)))</f>
        <v/>
      </c>
      <c r="H154" s="3" t="str">
        <f>IF(KENKO[[#This Row],[ID NOTA]]="","",INDEX([6]!NOTA[TGL.NOTA],MATCH(KENKO[[#This Row],[ID NOTA]],[6]!NOTA[ID],0)))</f>
        <v/>
      </c>
      <c r="I154" s="19" t="str">
        <f>IF(KENKO[[#This Row],[ID NOTA]]="","",INDEX([6]!NOTA[NO.NOTA],MATCH(KENKO[[#This Row],[ID NOTA]],[6]!NOTA[ID],0)))</f>
        <v/>
      </c>
      <c r="J154" s="4" t="s">
        <v>176</v>
      </c>
      <c r="K154" s="6" t="str">
        <f>""</f>
        <v/>
      </c>
      <c r="L154" s="6">
        <f ca="1">IF(KENKO[//]="","",IF(INDEX([6]!NOTA[QTY],KENKO[//]-2)="",INDEX([6]!NOTA[C],KENKO[//]-2),INDEX([6]!NOTA[QTY],KENKO[//]-2)))</f>
        <v>2</v>
      </c>
      <c r="M154" s="6" t="str">
        <f ca="1">IF(KENKO[//]="","",IF(INDEX([6]!NOTA[STN],KENKO[//]-2)="","CTN",INDEX([6]!NOTA[STN],KENKO[//]-2)))</f>
        <v>CTN</v>
      </c>
      <c r="N154" s="5">
        <f ca="1">IF(KENKO[[#This Row],[//]]="","",IF(INDEX([6]!NOTA[HARGA/ CTN],KENKO[[#This Row],[//]]-2)="",INDEX([6]!NOTA[HARGA SATUAN],KENKO[//]-2),INDEX([6]!NOTA[HARGA/ CTN],KENKO[[#This Row],[//]]-2)))</f>
        <v>5356800</v>
      </c>
      <c r="O154" s="8">
        <f ca="1">IF(KENKO[[#This Row],[//]]="","",INDEX([6]!NOTA[DISC 1],KENKO[[#This Row],[//]]-2))</f>
        <v>0.17</v>
      </c>
      <c r="P154" s="8">
        <f ca="1">IF(KENKO[[#This Row],[//]]="","",INDEX([6]!NOTA[DISC 2],KENKO[[#This Row],[//]]-2))</f>
        <v>0</v>
      </c>
      <c r="Q154" s="5">
        <f ca="1">IF(KENKO[[#This Row],[//]]="","",INDEX([6]!NOTA[JUMLAH],KENKO[[#This Row],[//]]-2)*(100%-IF(ISNUMBER(KENKO[[#This Row],[DISC 1 (%)]]),KENKO[[#This Row],[DISC 1 (%)]],0)))</f>
        <v>8892288</v>
      </c>
      <c r="R15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Row],[//]]="","",INDEX([6]!NOTA[NAMA BARANG],KENKO[[#This Row],[//]]-2))</f>
        <v>KENKO GEL PEN HI-TECH-H 0.28MM BLUE</v>
      </c>
      <c r="V154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54" s="4" t="s">
        <v>137</v>
      </c>
      <c r="X154" s="4" t="str">
        <f ca="1">IF(KENKO[[#This Row],[N.B.nota]]="","",ADDRESS(ROW(KENKO[QB]),COLUMN(KENKO[QB]))&amp;":"&amp;ADDRESS(ROW(),COLUMN(KENKO[QB])))</f>
        <v>$D$3:$D$154</v>
      </c>
      <c r="Y154" s="22" t="str">
        <f ca="1">IF(KENKO[[#This Row],[//]]="","",HYPERLINK("[..\\DB.xlsx]DB!e"&amp;MATCH(KENKO[[#This Row],[concat]],[4]!db[NB NOTA_C],0)+1,"&gt;"))</f>
        <v>&gt;</v>
      </c>
    </row>
    <row r="155" spans="1:25" x14ac:dyDescent="0.25">
      <c r="A155" s="4"/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NOTA]]="","",HYPERLINK("[NOTA_.xlsx]NOTA!e"&amp;INDEX([6]!PAJAK[//],MATCH(KENKO[[#This Row],[ID NOTA]],[6]!PAJAK[ID],0)),"&gt;") )</f>
        <v/>
      </c>
      <c r="D155" s="6" t="str">
        <f>IF(KENKO[[#This Row],[ID NOTA]]="","",INDEX(Table1[QB],MATCH(KENKO[[#This Row],[ID NOTA]],Table1[ID],0)))</f>
        <v/>
      </c>
      <c r="E15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583</v>
      </c>
      <c r="F155" s="6" t="str">
        <f>IF(KENKO[[#This Row],[NO. NOTA]]="","",INDEX([5]KE!$A:$A,MATCH(KENKO[[#This Row],[NO. NOTA]],[5]KE!$D:$D,0)))</f>
        <v/>
      </c>
      <c r="G155" s="3" t="str">
        <f>IF(KENKO[[#This Row],[ID NOTA]]="","",INDEX([6]!NOTA[TGL_H],MATCH(KENKO[[#This Row],[ID NOTA]],[6]!NOTA[ID],0)))</f>
        <v/>
      </c>
      <c r="H155" s="3" t="str">
        <f>IF(KENKO[[#This Row],[ID NOTA]]="","",INDEX([6]!NOTA[TGL.NOTA],MATCH(KENKO[[#This Row],[ID NOTA]],[6]!NOTA[ID],0)))</f>
        <v/>
      </c>
      <c r="I155" s="19" t="str">
        <f>IF(KENKO[[#This Row],[ID NOTA]]="","",INDEX([6]!NOTA[NO.NOTA],MATCH(KENKO[[#This Row],[ID NOTA]],[6]!NOTA[ID],0)))</f>
        <v/>
      </c>
      <c r="J155" s="4" t="s">
        <v>235</v>
      </c>
      <c r="K155" s="6" t="str">
        <f>""</f>
        <v/>
      </c>
      <c r="L155" s="6">
        <f ca="1">IF(KENKO[//]="","",IF(INDEX([6]!NOTA[QTY],KENKO[//]-2)="",INDEX([6]!NOTA[C],KENKO[//]-2),INDEX([6]!NOTA[QTY],KENKO[//]-2)))</f>
        <v>1</v>
      </c>
      <c r="M155" s="6" t="str">
        <f ca="1">IF(KENKO[//]="","",IF(INDEX([6]!NOTA[STN],KENKO[//]-2)="","CTN",INDEX([6]!NOTA[STN],KENKO[//]-2)))</f>
        <v>CTN</v>
      </c>
      <c r="N155" s="5">
        <f ca="1">IF(KENKO[[#This Row],[//]]="","",IF(INDEX([6]!NOTA[HARGA/ CTN],KENKO[[#This Row],[//]]-2)="",INDEX([6]!NOTA[HARGA SATUAN],KENKO[//]-2),INDEX([6]!NOTA[HARGA/ CTN],KENKO[[#This Row],[//]]-2)))</f>
        <v>2112000</v>
      </c>
      <c r="O155" s="8">
        <f ca="1">IF(KENKO[[#This Row],[//]]="","",INDEX([6]!NOTA[DISC 1],KENKO[[#This Row],[//]]-2))</f>
        <v>0.17</v>
      </c>
      <c r="P155" s="8">
        <f ca="1">IF(KENKO[[#This Row],[//]]="","",INDEX([6]!NOTA[DISC 2],KENKO[[#This Row],[//]]-2))</f>
        <v>0</v>
      </c>
      <c r="Q155" s="5">
        <f ca="1">IF(KENKO[[#This Row],[//]]="","",INDEX([6]!NOTA[JUMLAH],KENKO[[#This Row],[//]]-2)*(100%-IF(ISNUMBER(KENKO[[#This Row],[DISC 1 (%)]]),KENKO[[#This Row],[DISC 1 (%)]],0)))</f>
        <v>1752960</v>
      </c>
      <c r="R1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Row],[//]]="","",INDEX([6]!NOTA[NAMA BARANG],KENKO[[#This Row],[//]]-2))</f>
        <v>KENKO PENCIL 2B-3181 HITAM CAP MERAH</v>
      </c>
      <c r="V155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55" s="4" t="s">
        <v>137</v>
      </c>
      <c r="X155" s="4" t="str">
        <f ca="1">IF(KENKO[[#This Row],[N.B.nota]]="","",ADDRESS(ROW(KENKO[QB]),COLUMN(KENKO[QB]))&amp;":"&amp;ADDRESS(ROW(),COLUMN(KENKO[QB])))</f>
        <v>$D$3:$D$155</v>
      </c>
      <c r="Y155" s="22" t="str">
        <f ca="1">IF(KENKO[[#This Row],[//]]="","",HYPERLINK("[..\\DB.xlsx]DB!e"&amp;MATCH(KENKO[[#This Row],[concat]],[4]!db[NB NOTA_C],0)+1,"&gt;"))</f>
        <v>&gt;</v>
      </c>
    </row>
    <row r="156" spans="1:25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NOTA]]="","",HYPERLINK("[NOTA_.xlsx]NOTA!e"&amp;INDEX([6]!PAJAK[//],MATCH(KENKO[[#This Row],[ID NOTA]],[6]!PAJAK[ID],0)),"&gt;")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584</v>
      </c>
      <c r="F156" s="6" t="str">
        <f>IF(KENKO[[#This Row],[NO. NOTA]]="","",INDEX([5]KE!$A:$A,MATCH(KENKO[[#This Row],[NO. NOTA]],[5]KE!$D:$D,0)))</f>
        <v/>
      </c>
      <c r="G156" s="3" t="str">
        <f>IF(KENKO[[#This Row],[ID NOTA]]="","",INDEX([6]!NOTA[TGL_H],MATCH(KENKO[[#This Row],[ID NOTA]],[6]!NOTA[ID],0)))</f>
        <v/>
      </c>
      <c r="H156" s="3" t="str">
        <f>IF(KENKO[[#This Row],[ID NOTA]]="","",INDEX([6]!NOTA[TGL.NOTA],MATCH(KENKO[[#This Row],[ID NOTA]],[6]!NOTA[ID],0)))</f>
        <v/>
      </c>
      <c r="I156" s="19" t="str">
        <f>IF(KENKO[[#This Row],[ID NOTA]]="","",INDEX([6]!NOTA[NO.NOTA],MATCH(KENKO[[#This Row],[ID NOTA]],[6]!NOTA[ID],0)))</f>
        <v/>
      </c>
      <c r="J156" s="4" t="s">
        <v>208</v>
      </c>
      <c r="K156" s="6" t="str">
        <f>""</f>
        <v/>
      </c>
      <c r="L156" s="6">
        <f ca="1">IF(KENKO[//]="","",IF(INDEX([6]!NOTA[QTY],KENKO[//]-2)="",INDEX([6]!NOTA[C],KENKO[//]-2),INDEX([6]!NOTA[QTY],KENKO[//]-2)))</f>
        <v>1</v>
      </c>
      <c r="M156" s="6" t="str">
        <f ca="1">IF(KENKO[//]="","",IF(INDEX([6]!NOTA[STN],KENKO[//]-2)="","CTN",INDEX([6]!NOTA[STN],KENKO[//]-2)))</f>
        <v>CTN</v>
      </c>
      <c r="N156" s="5">
        <f ca="1">IF(KENKO[[#This Row],[//]]="","",IF(INDEX([6]!NOTA[HARGA/ CTN],KENKO[[#This Row],[//]]-2)="",INDEX([6]!NOTA[HARGA SATUAN],KENKO[//]-2),INDEX([6]!NOTA[HARGA/ CTN],KENKO[[#This Row],[//]]-2)))</f>
        <v>2208000</v>
      </c>
      <c r="O156" s="8">
        <f ca="1">IF(KENKO[[#This Row],[//]]="","",INDEX([6]!NOTA[DISC 1],KENKO[[#This Row],[//]]-2))</f>
        <v>0.17</v>
      </c>
      <c r="P156" s="8">
        <f ca="1">IF(KENKO[[#This Row],[//]]="","",INDEX([6]!NOTA[DISC 2],KENKO[[#This Row],[//]]-2))</f>
        <v>0</v>
      </c>
      <c r="Q156" s="5">
        <f ca="1">IF(KENKO[[#This Row],[//]]="","",INDEX([6]!NOTA[JUMLAH],KENKO[[#This Row],[//]]-2)*(100%-IF(ISNUMBER(KENKO[[#This Row],[DISC 1 (%)]]),KENKO[[#This Row],[DISC 1 (%)]],0)))</f>
        <v>1832640</v>
      </c>
      <c r="R1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Row],[//]]="","",INDEX([6]!NOTA[NAMA BARANG],KENKO[[#This Row],[//]]-2))</f>
        <v>KENKO PENCIL 2B-6181 BIRU CAP HITAM</v>
      </c>
      <c r="V156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56" s="4" t="s">
        <v>137</v>
      </c>
      <c r="X156" s="4" t="str">
        <f ca="1">IF(KENKO[[#This Row],[N.B.nota]]="","",ADDRESS(ROW(KENKO[QB]),COLUMN(KENKO[QB]))&amp;":"&amp;ADDRESS(ROW(),COLUMN(KENKO[QB])))</f>
        <v>$D$3:$D$156</v>
      </c>
      <c r="Y156" s="22" t="str">
        <f ca="1">IF(KENKO[[#This Row],[//]]="","",HYPERLINK("[..\\DB.xlsx]DB!e"&amp;MATCH(KENKO[[#This Row],[concat]],[4]!db[NB NOTA_C],0)+1,"&gt;"))</f>
        <v>&gt;</v>
      </c>
    </row>
    <row r="157" spans="1:25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NOTA]]="","",HYPERLINK("[NOTA_.xlsx]NOTA!e"&amp;INDEX([6]!PAJAK[//],MATCH(KENKO[[#This Row],[ID NOTA]],[6]!PAJAK[ID],0)),"&gt;") )</f>
        <v/>
      </c>
      <c r="D157" s="6" t="str">
        <f>IF(KENKO[[#This Row],[ID NOTA]]="","",INDEX(Table1[QB],MATCH(KENKO[[#This Row],[ID NOTA]],Table1[ID],0)))</f>
        <v/>
      </c>
      <c r="E15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585</v>
      </c>
      <c r="F157" s="6" t="str">
        <f>IF(KENKO[[#This Row],[NO. NOTA]]="","",INDEX([5]KE!$A:$A,MATCH(KENKO[[#This Row],[NO. NOTA]],[5]KE!$D:$D,0)))</f>
        <v/>
      </c>
      <c r="G157" s="3" t="str">
        <f>IF(KENKO[[#This Row],[ID NOTA]]="","",INDEX([6]!NOTA[TGL_H],MATCH(KENKO[[#This Row],[ID NOTA]],[6]!NOTA[ID],0)))</f>
        <v/>
      </c>
      <c r="H157" s="3" t="str">
        <f>IF(KENKO[[#This Row],[ID NOTA]]="","",INDEX([6]!NOTA[TGL.NOTA],MATCH(KENKO[[#This Row],[ID NOTA]],[6]!NOTA[ID],0)))</f>
        <v/>
      </c>
      <c r="I157" s="19" t="str">
        <f>IF(KENKO[[#This Row],[ID NOTA]]="","",INDEX([6]!NOTA[NO.NOTA],MATCH(KENKO[[#This Row],[ID NOTA]],[6]!NOTA[ID],0)))</f>
        <v/>
      </c>
      <c r="J157" s="4" t="s">
        <v>209</v>
      </c>
      <c r="K157" s="6" t="str">
        <f>""</f>
        <v/>
      </c>
      <c r="L157" s="6">
        <f ca="1">IF(KENKO[//]="","",IF(INDEX([6]!NOTA[QTY],KENKO[//]-2)="",INDEX([6]!NOTA[C],KENKO[//]-2),INDEX([6]!NOTA[QTY],KENKO[//]-2)))</f>
        <v>2</v>
      </c>
      <c r="M157" s="6" t="str">
        <f ca="1">IF(KENKO[//]="","",IF(INDEX([6]!NOTA[STN],KENKO[//]-2)="","CTN",INDEX([6]!NOTA[STN],KENKO[//]-2)))</f>
        <v>CTN</v>
      </c>
      <c r="N157" s="5">
        <f ca="1">IF(KENKO[[#This Row],[//]]="","",IF(INDEX([6]!NOTA[HARGA/ CTN],KENKO[[#This Row],[//]]-2)="",INDEX([6]!NOTA[HARGA SATUAN],KENKO[//]-2),INDEX([6]!NOTA[HARGA/ CTN],KENKO[[#This Row],[//]]-2)))</f>
        <v>2208000</v>
      </c>
      <c r="O157" s="8">
        <f ca="1">IF(KENKO[[#This Row],[//]]="","",INDEX([6]!NOTA[DISC 1],KENKO[[#This Row],[//]]-2))</f>
        <v>0.17</v>
      </c>
      <c r="P157" s="8">
        <f ca="1">IF(KENKO[[#This Row],[//]]="","",INDEX([6]!NOTA[DISC 2],KENKO[[#This Row],[//]]-2))</f>
        <v>0</v>
      </c>
      <c r="Q157" s="5">
        <f ca="1">IF(KENKO[[#This Row],[//]]="","",INDEX([6]!NOTA[JUMLAH],KENKO[[#This Row],[//]]-2)*(100%-IF(ISNUMBER(KENKO[[#This Row],[DISC 1 (%)]]),KENKO[[#This Row],[DISC 1 (%)]],0)))</f>
        <v>3665280</v>
      </c>
      <c r="R1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Row],[//]]="","",INDEX([6]!NOTA[NAMA BARANG],KENKO[[#This Row],[//]]-2))</f>
        <v>KENKO PENCIL 2B-6191 HIJAU CAP HITAM</v>
      </c>
      <c r="V157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57" s="4" t="s">
        <v>137</v>
      </c>
      <c r="X157" s="4" t="str">
        <f ca="1">IF(KENKO[[#This Row],[N.B.nota]]="","",ADDRESS(ROW(KENKO[QB]),COLUMN(KENKO[QB]))&amp;":"&amp;ADDRESS(ROW(),COLUMN(KENKO[QB])))</f>
        <v>$D$3:$D$157</v>
      </c>
      <c r="Y157" s="22" t="str">
        <f ca="1">IF(KENKO[[#This Row],[//]]="","",HYPERLINK("[..\\DB.xlsx]DB!e"&amp;MATCH(KENKO[[#This Row],[concat]],[4]!db[NB NOTA_C],0)+1,"&gt;"))</f>
        <v>&gt;</v>
      </c>
    </row>
    <row r="158" spans="1:25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NOTA]]="","",HYPERLINK("[NOTA_.xlsx]NOTA!e"&amp;INDEX([6]!PAJAK[//],MATCH(KENKO[[#This Row],[ID NOTA]],[6]!PAJAK[ID],0)),"&gt;")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586</v>
      </c>
      <c r="F158" s="6" t="str">
        <f>IF(KENKO[[#This Row],[NO. NOTA]]="","",INDEX([5]KE!$A:$A,MATCH(KENKO[[#This Row],[NO. NOTA]],[5]KE!$D:$D,0)))</f>
        <v/>
      </c>
      <c r="G158" s="3" t="str">
        <f>IF(KENKO[[#This Row],[ID NOTA]]="","",INDEX([6]!NOTA[TGL_H],MATCH(KENKO[[#This Row],[ID NOTA]],[6]!NOTA[ID],0)))</f>
        <v/>
      </c>
      <c r="H158" s="3" t="str">
        <f>IF(KENKO[[#This Row],[ID NOTA]]="","",INDEX([6]!NOTA[TGL.NOTA],MATCH(KENKO[[#This Row],[ID NOTA]],[6]!NOTA[ID],0)))</f>
        <v/>
      </c>
      <c r="I158" s="19" t="str">
        <f>IF(KENKO[[#This Row],[ID NOTA]]="","",INDEX([6]!NOTA[NO.NOTA],MATCH(KENKO[[#This Row],[ID NOTA]],[6]!NOTA[ID],0)))</f>
        <v/>
      </c>
      <c r="J158" s="4" t="s">
        <v>236</v>
      </c>
      <c r="K158" s="6" t="str">
        <f>""</f>
        <v/>
      </c>
      <c r="L158" s="6">
        <f ca="1">IF(KENKO[//]="","",IF(INDEX([6]!NOTA[QTY],KENKO[//]-2)="",INDEX([6]!NOTA[C],KENKO[//]-2),INDEX([6]!NOTA[QTY],KENKO[//]-2)))</f>
        <v>2</v>
      </c>
      <c r="M158" s="6" t="str">
        <f ca="1">IF(KENKO[//]="","",IF(INDEX([6]!NOTA[STN],KENKO[//]-2)="","CTN",INDEX([6]!NOTA[STN],KENKO[//]-2)))</f>
        <v>CTN</v>
      </c>
      <c r="N158" s="5">
        <f ca="1">IF(KENKO[[#This Row],[//]]="","",IF(INDEX([6]!NOTA[HARGA/ CTN],KENKO[[#This Row],[//]]-2)="",INDEX([6]!NOTA[HARGA SATUAN],KENKO[//]-2),INDEX([6]!NOTA[HARGA/ CTN],KENKO[[#This Row],[//]]-2)))</f>
        <v>2980800</v>
      </c>
      <c r="O158" s="8">
        <f ca="1">IF(KENKO[[#This Row],[//]]="","",INDEX([6]!NOTA[DISC 1],KENKO[[#This Row],[//]]-2))</f>
        <v>0.17</v>
      </c>
      <c r="P158" s="8">
        <f ca="1">IF(KENKO[[#This Row],[//]]="","",INDEX([6]!NOTA[DISC 2],KENKO[[#This Row],[//]]-2))</f>
        <v>0</v>
      </c>
      <c r="Q158" s="5">
        <f ca="1">IF(KENKO[[#This Row],[//]]="","",INDEX([6]!NOTA[JUMLAH],KENKO[[#This Row],[//]]-2)*(100%-IF(ISNUMBER(KENKO[[#This Row],[DISC 1 (%)]]),KENKO[[#This Row],[DISC 1 (%)]],0)))</f>
        <v>4948128</v>
      </c>
      <c r="R15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16071324</v>
      </c>
      <c r="S15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78465876</v>
      </c>
      <c r="T15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Row],[//]]="","",INDEX([6]!NOTA[NAMA BARANG],KENKO[[#This Row],[//]]-2))</f>
        <v>KENKO 12 COLOR PENCIL CP-12F CLASSIC</v>
      </c>
      <c r="V158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58" s="4" t="s">
        <v>137</v>
      </c>
      <c r="X158" s="4" t="str">
        <f ca="1">IF(KENKO[[#This Row],[N.B.nota]]="","",ADDRESS(ROW(KENKO[QB]),COLUMN(KENKO[QB]))&amp;":"&amp;ADDRESS(ROW(),COLUMN(KENKO[QB])))</f>
        <v>$D$3:$D$158</v>
      </c>
      <c r="Y158" s="22" t="str">
        <f ca="1">IF(KENKO[[#This Row],[//]]="","",HYPERLINK("[..\\DB.xlsx]DB!e"&amp;MATCH(KENKO[[#This Row],[concat]],[4]!db[NB NOTA_C],0)+1,"&gt;"))</f>
        <v>&gt;</v>
      </c>
    </row>
    <row r="159" spans="1:25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NOTA]]="","",HYPERLINK("[NOTA_.xlsx]NOTA!e"&amp;INDEX([6]!PAJAK[//],MATCH(KENKO[[#This Row],[ID NOTA]],[6]!PAJAK[ID],0)),"&gt;") )</f>
        <v/>
      </c>
      <c r="D159" s="6" t="str">
        <f>IF(KENKO[[#This Row],[ID NOTA]]="","",INDEX(Table1[QB],MATCH(KENKO[[#This Row],[ID NOTA]],Table1[ID],0)))</f>
        <v/>
      </c>
      <c r="E159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9" s="6" t="str">
        <f>IF(KENKO[[#This Row],[NO. NOTA]]="","",INDEX([5]KE!$A:$A,MATCH(KENKO[[#This Row],[NO. NOTA]],[5]KE!$D:$D,0)))</f>
        <v/>
      </c>
      <c r="G159" s="3" t="str">
        <f>IF(KENKO[[#This Row],[ID NOTA]]="","",INDEX([6]!NOTA[TGL_H],MATCH(KENKO[[#This Row],[ID NOTA]],[6]!NOTA[ID],0)))</f>
        <v/>
      </c>
      <c r="H159" s="3" t="str">
        <f>IF(KENKO[[#This Row],[ID NOTA]]="","",INDEX([6]!NOTA[TGL.NOTA],MATCH(KENKO[[#This Row],[ID NOTA]],[6]!NOTA[ID],0)))</f>
        <v/>
      </c>
      <c r="I159" s="19" t="str">
        <f>IF(KENKO[[#This Row],[ID NOTA]]="","",INDEX([6]!NOTA[NO.NOTA],MATCH(KENKO[[#This Row],[ID NOTA]],[6]!NOTA[ID],0)))</f>
        <v/>
      </c>
      <c r="J159" s="4" t="s">
        <v>136</v>
      </c>
      <c r="K159" s="6" t="str">
        <f>""</f>
        <v/>
      </c>
      <c r="L159" s="6" t="str">
        <f ca="1">IF(KENKO[//]="","",IF(INDEX([6]!NOTA[QTY],KENKO[//]-2)="",INDEX([6]!NOTA[C],KENKO[//]-2),INDEX([6]!NOTA[QTY],KENKO[//]-2)))</f>
        <v/>
      </c>
      <c r="M159" s="6" t="str">
        <f ca="1">IF(KENKO[//]="","",IF(INDEX([6]!NOTA[STN],KENKO[//]-2)="","CTN",INDEX([6]!NOTA[STN],KENKO[//]-2)))</f>
        <v/>
      </c>
      <c r="N159" s="5" t="str">
        <f ca="1">IF(KENKO[[#This Row],[//]]="","",IF(INDEX([6]!NOTA[HARGA/ CTN],KENKO[[#This Row],[//]]-2)="",INDEX([6]!NOTA[HARGA SATUAN],KENKO[//]-2),INDEX([6]!NOTA[HARGA/ CTN],KENKO[[#This Row],[//]]-2)))</f>
        <v/>
      </c>
      <c r="O159" s="8" t="str">
        <f ca="1">IF(KENKO[[#This Row],[//]]="","",INDEX([6]!NOTA[DISC 1],KENKO[[#This Row],[//]]-2))</f>
        <v/>
      </c>
      <c r="P159" s="8" t="str">
        <f ca="1">IF(KENKO[[#This Row],[//]]="","",INDEX([6]!NOTA[DISC 2],KENKO[[#This Row],[//]]-2))</f>
        <v/>
      </c>
      <c r="Q159" s="5" t="str">
        <f ca="1">IF(KENKO[[#This Row],[//]]="","",INDEX([6]!NOTA[JUMLAH],KENKO[[#This Row],[//]]-2)*(100%-IF(ISNUMBER(KENKO[[#This Row],[DISC 1 (%)]]),KENKO[[#This Row],[DISC 1 (%)]],0)))</f>
        <v/>
      </c>
      <c r="R1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Row],[//]]="","",INDEX([6]!NOTA[NAMA BARANG],KENKO[[#This Row],[//]]-2))</f>
        <v/>
      </c>
      <c r="V159" s="4" t="str">
        <f ca="1">LOWER(SUBSTITUTE(SUBSTITUTE(SUBSTITUTE(SUBSTITUTE(SUBSTITUTE(SUBSTITUTE(SUBSTITUTE(SUBSTITUTE(KENKO[[#This Row],[N.B.nota]]," ",""),"-",""),"(",""),")",""),".",""),",",""),"/",""),"""",""))</f>
        <v/>
      </c>
      <c r="W159" s="4" t="s">
        <v>136</v>
      </c>
      <c r="X159" s="4" t="str">
        <f ca="1">IF(KENKO[[#This Row],[N.B.nota]]="","",ADDRESS(ROW(KENKO[QB]),COLUMN(KENKO[QB]))&amp;":"&amp;ADDRESS(ROW(),COLUMN(KENKO[QB])))</f>
        <v/>
      </c>
      <c r="Y159" s="22" t="str">
        <f ca="1">IF(KENKO[[#This Row],[//]]="","",HYPERLINK("[..\\DB.xlsx]DB!e"&amp;MATCH(KENKO[[#This Row],[concat]],[4]!db[NB NOTA_C],0)+1,"&gt;"))</f>
        <v/>
      </c>
    </row>
    <row r="160" spans="1:25" x14ac:dyDescent="0.25">
      <c r="A160" s="4" t="s">
        <v>91</v>
      </c>
      <c r="B160" s="6">
        <f ca="1">IF(KENKO[[#This Row],[N_ID]]="","",INDEX(Table1[ID],MATCH(KENKO[[#This Row],[N_ID]],Table1[N_ID],0)))</f>
        <v>128</v>
      </c>
      <c r="C160" s="6" t="str">
        <f ca="1">IF(KENKO[[#This Row],[ID NOTA]]="","",HYPERLINK("[NOTA_.xlsx]NOTA!e"&amp;INDEX([6]!PAJAK[//],MATCH(KENKO[[#This Row],[ID NOTA]],[6]!PAJAK[ID],0)),"&gt;") )</f>
        <v>&gt;</v>
      </c>
      <c r="D160" s="6">
        <f ca="1">IF(KENKO[[#This Row],[ID NOTA]]="","",INDEX(Table1[QB],MATCH(KENKO[[#This Row],[ID NOTA]],Table1[ID],0)))</f>
        <v>1</v>
      </c>
      <c r="E16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661</v>
      </c>
      <c r="F160" s="6" t="e">
        <f ca="1">IF(KENKO[[#This Row],[NO. NOTA]]="","",INDEX([5]KE!$A:$A,MATCH(KENKO[[#This Row],[NO. NOTA]],[5]KE!$D:$D,0)))</f>
        <v>#N/A</v>
      </c>
      <c r="G160" s="3">
        <f ca="1">IF(KENKO[[#This Row],[ID NOTA]]="","",INDEX([6]!NOTA[TGL_H],MATCH(KENKO[[#This Row],[ID NOTA]],[6]!NOTA[ID],0)))</f>
        <v>44764</v>
      </c>
      <c r="H160" s="3">
        <f ca="1">IF(KENKO[[#This Row],[ID NOTA]]="","",INDEX([6]!NOTA[TGL.NOTA],MATCH(KENKO[[#This Row],[ID NOTA]],[6]!NOTA[ID],0)))</f>
        <v>44761</v>
      </c>
      <c r="I160" s="19" t="str">
        <f ca="1">IF(KENKO[[#This Row],[ID NOTA]]="","",INDEX([6]!NOTA[NO.NOTA],MATCH(KENKO[[#This Row],[ID NOTA]],[6]!NOTA[ID],0)))</f>
        <v>22071675</v>
      </c>
      <c r="J160" s="4" t="s">
        <v>225</v>
      </c>
      <c r="K160" s="6" t="str">
        <f>""</f>
        <v/>
      </c>
      <c r="L160" s="6">
        <f ca="1">IF(KENKO[//]="","",IF(INDEX([6]!NOTA[QTY],KENKO[//]-2)="",INDEX([6]!NOTA[C],KENKO[//]-2),INDEX([6]!NOTA[QTY],KENKO[//]-2)))</f>
        <v>4</v>
      </c>
      <c r="M160" s="6" t="str">
        <f ca="1">IF(KENKO[//]="","",IF(INDEX([6]!NOTA[STN],KENKO[//]-2)="","CTN",INDEX([6]!NOTA[STN],KENKO[//]-2)))</f>
        <v>CTN</v>
      </c>
      <c r="N160" s="5">
        <f ca="1">IF(KENKO[[#This Row],[//]]="","",IF(INDEX([6]!NOTA[HARGA/ CTN],KENKO[[#This Row],[//]]-2)="",INDEX([6]!NOTA[HARGA SATUAN],KENKO[//]-2),INDEX([6]!NOTA[HARGA/ CTN],KENKO[[#This Row],[//]]-2)))</f>
        <v>1998000</v>
      </c>
      <c r="O160" s="8">
        <f ca="1">IF(KENKO[[#This Row],[//]]="","",INDEX([6]!NOTA[DISC 1],KENKO[[#This Row],[//]]-2))</f>
        <v>0.17</v>
      </c>
      <c r="P160" s="8">
        <f ca="1">IF(KENKO[[#This Row],[//]]="","",INDEX([6]!NOTA[DISC 2],KENKO[[#This Row],[//]]-2))</f>
        <v>0</v>
      </c>
      <c r="Q160" s="5">
        <f ca="1">IF(KENKO[[#This Row],[//]]="","",INDEX([6]!NOTA[JUMLAH],KENKO[[#This Row],[//]]-2)*(100%-IF(ISNUMBER(KENKO[[#This Row],[DISC 1 (%)]]),KENKO[[#This Row],[DISC 1 (%)]],0)))</f>
        <v>6633360</v>
      </c>
      <c r="R16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1358640</v>
      </c>
      <c r="S16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6633360</v>
      </c>
      <c r="T16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Row],[//]]="","",INDEX([6]!NOTA[NAMA BARANG],KENKO[[#This Row],[//]]-2))</f>
        <v>KENKO CORRECTION FLUID KE-823M</v>
      </c>
      <c r="V160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60" s="4" t="s">
        <v>137</v>
      </c>
      <c r="X160" s="4" t="str">
        <f ca="1">IF(KENKO[[#This Row],[N.B.nota]]="","",ADDRESS(ROW(KENKO[QB]),COLUMN(KENKO[QB]))&amp;":"&amp;ADDRESS(ROW(),COLUMN(KENKO[QB])))</f>
        <v>$D$3:$D$160</v>
      </c>
      <c r="Y160" s="14" t="str">
        <f ca="1">IF(KENKO[[#This Row],[//]]="","",HYPERLINK("[..\\DB.xlsx]DB!e"&amp;MATCH(KENKO[[#This Row],[concat]],[4]!db[NB NOTA_C],0)+1,"&gt;"))</f>
        <v>&gt;</v>
      </c>
    </row>
    <row r="161" spans="1:25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NOTA]]="","",HYPERLINK("[NOTA_.xlsx]NOTA!e"&amp;INDEX([6]!PAJAK[//],MATCH(KENKO[[#This Row],[ID NOTA]],[6]!PAJAK[ID],0)),"&gt;") )</f>
        <v/>
      </c>
      <c r="D161" s="6" t="str">
        <f>IF(KENKO[[#This Row],[ID NOTA]]="","",INDEX(Table1[QB],MATCH(KENKO[[#This Row],[ID NOTA]],Table1[ID],0)))</f>
        <v/>
      </c>
      <c r="E16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1" s="6" t="str">
        <f>IF(KENKO[[#This Row],[NO. NOTA]]="","",INDEX([5]KE!$A:$A,MATCH(KENKO[[#This Row],[NO. NOTA]],[5]KE!$D:$D,0)))</f>
        <v/>
      </c>
      <c r="G161" s="3" t="str">
        <f>IF(KENKO[[#This Row],[ID NOTA]]="","",INDEX([6]!NOTA[TGL_H],MATCH(KENKO[[#This Row],[ID NOTA]],[6]!NOTA[ID],0)))</f>
        <v/>
      </c>
      <c r="H161" s="3" t="str">
        <f>IF(KENKO[[#This Row],[ID NOTA]]="","",INDEX([6]!NOTA[TGL.NOTA],MATCH(KENKO[[#This Row],[ID NOTA]],[6]!NOTA[ID],0)))</f>
        <v/>
      </c>
      <c r="I161" s="19" t="str">
        <f>IF(KENKO[[#This Row],[ID NOTA]]="","",INDEX([6]!NOTA[NO.NOTA],MATCH(KENKO[[#This Row],[ID NOTA]],[6]!NOTA[ID],0)))</f>
        <v/>
      </c>
      <c r="J161" s="4" t="s">
        <v>136</v>
      </c>
      <c r="K161" s="6" t="str">
        <f>""</f>
        <v/>
      </c>
      <c r="L161" s="6" t="str">
        <f ca="1">IF(KENKO[//]="","",IF(INDEX([6]!NOTA[QTY],KENKO[//]-2)="",INDEX([6]!NOTA[C],KENKO[//]-2),INDEX([6]!NOTA[QTY],KENKO[//]-2)))</f>
        <v/>
      </c>
      <c r="M161" s="6" t="str">
        <f ca="1">IF(KENKO[//]="","",IF(INDEX([6]!NOTA[STN],KENKO[//]-2)="","CTN",INDEX([6]!NOTA[STN],KENKO[//]-2)))</f>
        <v/>
      </c>
      <c r="N161" s="5" t="str">
        <f ca="1">IF(KENKO[[#This Row],[//]]="","",IF(INDEX([6]!NOTA[HARGA/ CTN],KENKO[[#This Row],[//]]-2)="",INDEX([6]!NOTA[HARGA SATUAN],KENKO[//]-2),INDEX([6]!NOTA[HARGA/ CTN],KENKO[[#This Row],[//]]-2)))</f>
        <v/>
      </c>
      <c r="O161" s="8" t="str">
        <f ca="1">IF(KENKO[[#This Row],[//]]="","",INDEX([6]!NOTA[DISC 1],KENKO[[#This Row],[//]]-2))</f>
        <v/>
      </c>
      <c r="P161" s="8" t="str">
        <f ca="1">IF(KENKO[[#This Row],[//]]="","",INDEX([6]!NOTA[DISC 2],KENKO[[#This Row],[//]]-2))</f>
        <v/>
      </c>
      <c r="Q161" s="5" t="str">
        <f ca="1">IF(KENKO[[#This Row],[//]]="","",INDEX([6]!NOTA[JUMLAH],KENKO[[#This Row],[//]]-2)*(100%-IF(ISNUMBER(KENKO[[#This Row],[DISC 1 (%)]]),KENKO[[#This Row],[DISC 1 (%)]],0)))</f>
        <v/>
      </c>
      <c r="R1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Row],[//]]="","",INDEX([6]!NOTA[NAMA BARANG],KENKO[[#This Row],[//]]-2))</f>
        <v/>
      </c>
      <c r="V161" s="4" t="str">
        <f ca="1">LOWER(SUBSTITUTE(SUBSTITUTE(SUBSTITUTE(SUBSTITUTE(SUBSTITUTE(SUBSTITUTE(SUBSTITUTE(SUBSTITUTE(KENKO[[#This Row],[N.B.nota]]," ",""),"-",""),"(",""),")",""),".",""),",",""),"/",""),"""",""))</f>
        <v/>
      </c>
      <c r="W161" s="4" t="s">
        <v>136</v>
      </c>
      <c r="X161" s="4" t="str">
        <f ca="1">IF(KENKO[[#This Row],[N.B.nota]]="","",ADDRESS(ROW(KENKO[QB]),COLUMN(KENKO[QB]))&amp;":"&amp;ADDRESS(ROW(),COLUMN(KENKO[QB])))</f>
        <v/>
      </c>
      <c r="Y161" s="14" t="str">
        <f ca="1">IF(KENKO[[#This Row],[//]]="","",HYPERLINK("[..\\DB.xlsx]DB!e"&amp;MATCH(KENKO[[#This Row],[concat]],[4]!db[NB NOTA_C],0)+1,"&gt;"))</f>
        <v/>
      </c>
    </row>
    <row r="162" spans="1:25" x14ac:dyDescent="0.25">
      <c r="A162" s="4" t="s">
        <v>92</v>
      </c>
      <c r="B162" s="6">
        <f ca="1">IF(KENKO[[#This Row],[N_ID]]="","",INDEX(Table1[ID],MATCH(KENKO[[#This Row],[N_ID]],Table1[N_ID],0)))</f>
        <v>127</v>
      </c>
      <c r="C162" s="6" t="str">
        <f ca="1">IF(KENKO[[#This Row],[ID NOTA]]="","",HYPERLINK("[NOTA_.xlsx]NOTA!e"&amp;INDEX([6]!PAJAK[//],MATCH(KENKO[[#This Row],[ID NOTA]],[6]!PAJAK[ID],0)),"&gt;") )</f>
        <v>&gt;</v>
      </c>
      <c r="D162" s="6">
        <f ca="1">IF(KENKO[[#This Row],[ID NOTA]]="","",INDEX(Table1[QB],MATCH(KENKO[[#This Row],[ID NOTA]],Table1[ID],0)))</f>
        <v>3</v>
      </c>
      <c r="E16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657</v>
      </c>
      <c r="F162" s="6" t="e">
        <f ca="1">IF(KENKO[[#This Row],[NO. NOTA]]="","",INDEX([5]KE!$A:$A,MATCH(KENKO[[#This Row],[NO. NOTA]],[5]KE!$D:$D,0)))</f>
        <v>#N/A</v>
      </c>
      <c r="G162" s="3">
        <f ca="1">IF(KENKO[[#This Row],[ID NOTA]]="","",INDEX([6]!NOTA[TGL_H],MATCH(KENKO[[#This Row],[ID NOTA]],[6]!NOTA[ID],0)))</f>
        <v>44764</v>
      </c>
      <c r="H162" s="3">
        <f ca="1">IF(KENKO[[#This Row],[ID NOTA]]="","",INDEX([6]!NOTA[TGL.NOTA],MATCH(KENKO[[#This Row],[ID NOTA]],[6]!NOTA[ID],0)))</f>
        <v>44762</v>
      </c>
      <c r="I162" s="19" t="str">
        <f ca="1">IF(KENKO[[#This Row],[ID NOTA]]="","",INDEX([6]!NOTA[NO.NOTA],MATCH(KENKO[[#This Row],[ID NOTA]],[6]!NOTA[ID],0)))</f>
        <v>22071836</v>
      </c>
      <c r="J162" s="4" t="s">
        <v>237</v>
      </c>
      <c r="K162" s="6" t="str">
        <f>""</f>
        <v/>
      </c>
      <c r="L162" s="6">
        <f ca="1">IF(KENKO[//]="","",IF(INDEX([6]!NOTA[QTY],KENKO[//]-2)="",INDEX([6]!NOTA[C],KENKO[//]-2),INDEX([6]!NOTA[QTY],KENKO[//]-2)))</f>
        <v>2</v>
      </c>
      <c r="M162" s="6" t="str">
        <f ca="1">IF(KENKO[//]="","",IF(INDEX([6]!NOTA[STN],KENKO[//]-2)="","CTN",INDEX([6]!NOTA[STN],KENKO[//]-2)))</f>
        <v>CTN</v>
      </c>
      <c r="N162" s="5">
        <f ca="1">IF(KENKO[[#This Row],[//]]="","",IF(INDEX([6]!NOTA[HARGA/ CTN],KENKO[[#This Row],[//]]-2)="",INDEX([6]!NOTA[HARGA SATUAN],KENKO[//]-2),INDEX([6]!NOTA[HARGA/ CTN],KENKO[[#This Row],[//]]-2)))</f>
        <v>1245000</v>
      </c>
      <c r="O162" s="8">
        <f ca="1">IF(KENKO[[#This Row],[//]]="","",INDEX([6]!NOTA[DISC 1],KENKO[[#This Row],[//]]-2))</f>
        <v>0.17</v>
      </c>
      <c r="P162" s="8">
        <f ca="1">IF(KENKO[[#This Row],[//]]="","",INDEX([6]!NOTA[DISC 2],KENKO[[#This Row],[//]]-2))</f>
        <v>0</v>
      </c>
      <c r="Q162" s="5">
        <f ca="1">IF(KENKO[[#This Row],[//]]="","",INDEX([6]!NOTA[JUMLAH],KENKO[[#This Row],[//]]-2)*(100%-IF(ISNUMBER(KENKO[[#This Row],[DISC 1 (%)]]),KENKO[[#This Row],[DISC 1 (%)]],0)))</f>
        <v>2066700</v>
      </c>
      <c r="R16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Row],[//]]="","",INDEX([6]!NOTA[NAMA BARANG],KENKO[[#This Row],[//]]-2))</f>
        <v>KENKO SCISSOR SC-828</v>
      </c>
      <c r="V162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62" s="4" t="s">
        <v>137</v>
      </c>
      <c r="X162" s="4" t="str">
        <f ca="1">IF(KENKO[[#This Row],[N.B.nota]]="","",ADDRESS(ROW(KENKO[QB]),COLUMN(KENKO[QB]))&amp;":"&amp;ADDRESS(ROW(),COLUMN(KENKO[QB])))</f>
        <v>$D$3:$D$162</v>
      </c>
      <c r="Y162" s="14" t="str">
        <f ca="1">IF(KENKO[[#This Row],[//]]="","",HYPERLINK("[..\\DB.xlsx]DB!e"&amp;MATCH(KENKO[[#This Row],[concat]],[4]!db[NB NOTA_C],0)+1,"&gt;"))</f>
        <v>&gt;</v>
      </c>
    </row>
    <row r="163" spans="1:25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NOTA]]="","",HYPERLINK("[NOTA_.xlsx]NOTA!e"&amp;INDEX([6]!PAJAK[//],MATCH(KENKO[[#This Row],[ID NOTA]],[6]!PAJAK[ID],0)),"&gt;")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658</v>
      </c>
      <c r="F163" s="6" t="str">
        <f>IF(KENKO[[#This Row],[NO. NOTA]]="","",INDEX([5]KE!$A:$A,MATCH(KENKO[[#This Row],[NO. NOTA]],[5]KE!$D:$D,0)))</f>
        <v/>
      </c>
      <c r="G163" s="3" t="str">
        <f>IF(KENKO[[#This Row],[ID NOTA]]="","",INDEX([6]!NOTA[TGL_H],MATCH(KENKO[[#This Row],[ID NOTA]],[6]!NOTA[ID],0)))</f>
        <v/>
      </c>
      <c r="H163" s="3" t="str">
        <f>IF(KENKO[[#This Row],[ID NOTA]]="","",INDEX([6]!NOTA[TGL.NOTA],MATCH(KENKO[[#This Row],[ID NOTA]],[6]!NOTA[ID],0)))</f>
        <v/>
      </c>
      <c r="I163" s="19" t="str">
        <f>IF(KENKO[[#This Row],[ID NOTA]]="","",INDEX([6]!NOTA[NO.NOTA],MATCH(KENKO[[#This Row],[ID NOTA]],[6]!NOTA[ID],0)))</f>
        <v/>
      </c>
      <c r="J163" s="4" t="s">
        <v>172</v>
      </c>
      <c r="K163" s="6" t="str">
        <f>""</f>
        <v/>
      </c>
      <c r="L163" s="6">
        <f ca="1">IF(KENKO[//]="","",IF(INDEX([6]!NOTA[QTY],KENKO[//]-2)="",INDEX([6]!NOTA[C],KENKO[//]-2),INDEX([6]!NOTA[QTY],KENKO[//]-2)))</f>
        <v>3</v>
      </c>
      <c r="M163" s="6" t="str">
        <f ca="1">IF(KENKO[//]="","",IF(INDEX([6]!NOTA[STN],KENKO[//]-2)="","CTN",INDEX([6]!NOTA[STN],KENKO[//]-2)))</f>
        <v>CTN</v>
      </c>
      <c r="N163" s="5">
        <f ca="1">IF(KENKO[[#This Row],[//]]="","",IF(INDEX([6]!NOTA[HARGA/ CTN],KENKO[[#This Row],[//]]-2)="",INDEX([6]!NOTA[HARGA SATUAN],KENKO[//]-2),INDEX([6]!NOTA[HARGA/ CTN],KENKO[[#This Row],[//]]-2)))</f>
        <v>2952000</v>
      </c>
      <c r="O163" s="8">
        <f ca="1">IF(KENKO[[#This Row],[//]]="","",INDEX([6]!NOTA[DISC 1],KENKO[[#This Row],[//]]-2))</f>
        <v>0.17</v>
      </c>
      <c r="P163" s="8">
        <f ca="1">IF(KENKO[[#This Row],[//]]="","",INDEX([6]!NOTA[DISC 2],KENKO[[#This Row],[//]]-2))</f>
        <v>0</v>
      </c>
      <c r="Q163" s="5">
        <f ca="1">IF(KENKO[[#This Row],[//]]="","",INDEX([6]!NOTA[JUMLAH],KENKO[[#This Row],[//]]-2)*(100%-IF(ISNUMBER(KENKO[[#This Row],[DISC 1 (%)]]),KENKO[[#This Row],[DISC 1 (%)]],0)))</f>
        <v>7350480</v>
      </c>
      <c r="R1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Row],[//]]="","",INDEX([6]!NOTA[NAMA BARANG],KENKO[[#This Row],[//]]-2))</f>
        <v>KENKO CUTTER L-500 (18MM BLADE)</v>
      </c>
      <c r="V163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63" s="4" t="s">
        <v>137</v>
      </c>
      <c r="X163" s="4" t="str">
        <f ca="1">IF(KENKO[[#This Row],[N.B.nota]]="","",ADDRESS(ROW(KENKO[QB]),COLUMN(KENKO[QB]))&amp;":"&amp;ADDRESS(ROW(),COLUMN(KENKO[QB])))</f>
        <v>$D$3:$D$163</v>
      </c>
      <c r="Y163" s="14" t="str">
        <f ca="1">IF(KENKO[[#This Row],[//]]="","",HYPERLINK("[..\\DB.xlsx]DB!e"&amp;MATCH(KENKO[[#This Row],[concat]],[4]!db[NB NOTA_C],0)+1,"&gt;"))</f>
        <v>&gt;</v>
      </c>
    </row>
    <row r="164" spans="1:25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NOTA]]="","",HYPERLINK("[NOTA_.xlsx]NOTA!e"&amp;INDEX([6]!PAJAK[//],MATCH(KENKO[[#This Row],[ID NOTA]],[6]!PAJAK[ID],0)),"&gt;")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659</v>
      </c>
      <c r="F164" s="6" t="str">
        <f>IF(KENKO[[#This Row],[NO. NOTA]]="","",INDEX([5]KE!$A:$A,MATCH(KENKO[[#This Row],[NO. NOTA]],[5]KE!$D:$D,0)))</f>
        <v/>
      </c>
      <c r="G164" s="3" t="str">
        <f>IF(KENKO[[#This Row],[ID NOTA]]="","",INDEX([6]!NOTA[TGL_H],MATCH(KENKO[[#This Row],[ID NOTA]],[6]!NOTA[ID],0)))</f>
        <v/>
      </c>
      <c r="H164" s="3" t="str">
        <f>IF(KENKO[[#This Row],[ID NOTA]]="","",INDEX([6]!NOTA[TGL.NOTA],MATCH(KENKO[[#This Row],[ID NOTA]],[6]!NOTA[ID],0)))</f>
        <v/>
      </c>
      <c r="I164" s="19" t="str">
        <f>IF(KENKO[[#This Row],[ID NOTA]]="","",INDEX([6]!NOTA[NO.NOTA],MATCH(KENKO[[#This Row],[ID NOTA]],[6]!NOTA[ID],0)))</f>
        <v/>
      </c>
      <c r="J164" s="4" t="s">
        <v>189</v>
      </c>
      <c r="K164" s="6" t="str">
        <f>""</f>
        <v/>
      </c>
      <c r="L164" s="6">
        <f ca="1">IF(KENKO[//]="","",IF(INDEX([6]!NOTA[QTY],KENKO[//]-2)="",INDEX([6]!NOTA[C],KENKO[//]-2),INDEX([6]!NOTA[QTY],KENKO[//]-2)))</f>
        <v>4</v>
      </c>
      <c r="M164" s="6" t="str">
        <f ca="1">IF(KENKO[//]="","",IF(INDEX([6]!NOTA[STN],KENKO[//]-2)="","CTN",INDEX([6]!NOTA[STN],KENKO[//]-2)))</f>
        <v>CTN</v>
      </c>
      <c r="N164" s="5">
        <f ca="1">IF(KENKO[[#This Row],[//]]="","",IF(INDEX([6]!NOTA[HARGA/ CTN],KENKO[[#This Row],[//]]-2)="",INDEX([6]!NOTA[HARGA SATUAN],KENKO[//]-2),INDEX([6]!NOTA[HARGA/ CTN],KENKO[[#This Row],[//]]-2)))</f>
        <v>1500000</v>
      </c>
      <c r="O164" s="8">
        <f ca="1">IF(KENKO[[#This Row],[//]]="","",INDEX([6]!NOTA[DISC 1],KENKO[[#This Row],[//]]-2))</f>
        <v>0.17</v>
      </c>
      <c r="P164" s="8">
        <f ca="1">IF(KENKO[[#This Row],[//]]="","",INDEX([6]!NOTA[DISC 2],KENKO[[#This Row],[//]]-2))</f>
        <v>0</v>
      </c>
      <c r="Q164" s="5">
        <f ca="1">IF(KENKO[[#This Row],[//]]="","",INDEX([6]!NOTA[JUMLAH],KENKO[[#This Row],[//]]-2)*(100%-IF(ISNUMBER(KENKO[[#This Row],[DISC 1 (%)]]),KENKO[[#This Row],[DISC 1 (%)]],0)))</f>
        <v>4980000</v>
      </c>
      <c r="R16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2948820</v>
      </c>
      <c r="S16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14397180</v>
      </c>
      <c r="T16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Row],[//]]="","",INDEX([6]!NOTA[NAMA BARANG],KENKO[[#This Row],[//]]-2))</f>
        <v>KENKO ERASER ERB-20SQ BLACK</v>
      </c>
      <c r="V164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64" s="4" t="s">
        <v>137</v>
      </c>
      <c r="X164" s="4" t="str">
        <f ca="1">IF(KENKO[[#This Row],[N.B.nota]]="","",ADDRESS(ROW(KENKO[QB]),COLUMN(KENKO[QB]))&amp;":"&amp;ADDRESS(ROW(),COLUMN(KENKO[QB])))</f>
        <v>$D$3:$D$164</v>
      </c>
      <c r="Y164" s="14" t="str">
        <f ca="1">IF(KENKO[[#This Row],[//]]="","",HYPERLINK("[..\\DB.xlsx]DB!e"&amp;MATCH(KENKO[[#This Row],[concat]],[4]!db[NB NOTA_C],0)+1,"&gt;"))</f>
        <v>&gt;</v>
      </c>
    </row>
    <row r="165" spans="1:25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NOTA]]="","",HYPERLINK("[NOTA_.xlsx]NOTA!e"&amp;INDEX([6]!PAJAK[//],MATCH(KENKO[[#This Row],[ID NOTA]],[6]!PAJAK[ID],0)),"&gt;") )</f>
        <v/>
      </c>
      <c r="D165" s="6" t="str">
        <f>IF(KENKO[[#This Row],[ID NOTA]]="","",INDEX(Table1[QB],MATCH(KENKO[[#This Row],[ID NOTA]],Table1[ID],0)))</f>
        <v/>
      </c>
      <c r="E16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5" s="6" t="str">
        <f>IF(KENKO[[#This Row],[NO. NOTA]]="","",INDEX([5]KE!$A:$A,MATCH(KENKO[[#This Row],[NO. NOTA]],[5]KE!$D:$D,0)))</f>
        <v/>
      </c>
      <c r="G165" s="3" t="str">
        <f>IF(KENKO[[#This Row],[ID NOTA]]="","",INDEX([6]!NOTA[TGL_H],MATCH(KENKO[[#This Row],[ID NOTA]],[6]!NOTA[ID],0)))</f>
        <v/>
      </c>
      <c r="H165" s="3" t="str">
        <f>IF(KENKO[[#This Row],[ID NOTA]]="","",INDEX([6]!NOTA[TGL.NOTA],MATCH(KENKO[[#This Row],[ID NOTA]],[6]!NOTA[ID],0)))</f>
        <v/>
      </c>
      <c r="I165" s="19" t="str">
        <f>IF(KENKO[[#This Row],[ID NOTA]]="","",INDEX([6]!NOTA[NO.NOTA],MATCH(KENKO[[#This Row],[ID NOTA]],[6]!NOTA[ID],0)))</f>
        <v/>
      </c>
      <c r="J165" s="4" t="s">
        <v>136</v>
      </c>
      <c r="K165" s="6" t="str">
        <f>""</f>
        <v/>
      </c>
      <c r="L165" s="6" t="str">
        <f ca="1">IF(KENKO[//]="","",IF(INDEX([6]!NOTA[QTY],KENKO[//]-2)="",INDEX([6]!NOTA[C],KENKO[//]-2),INDEX([6]!NOTA[QTY],KENKO[//]-2)))</f>
        <v/>
      </c>
      <c r="M165" s="6" t="str">
        <f ca="1">IF(KENKO[//]="","",IF(INDEX([6]!NOTA[STN],KENKO[//]-2)="","CTN",INDEX([6]!NOTA[STN],KENKO[//]-2)))</f>
        <v/>
      </c>
      <c r="N165" s="5" t="str">
        <f ca="1">IF(KENKO[[#This Row],[//]]="","",IF(INDEX([6]!NOTA[HARGA/ CTN],KENKO[[#This Row],[//]]-2)="",INDEX([6]!NOTA[HARGA SATUAN],KENKO[//]-2),INDEX([6]!NOTA[HARGA/ CTN],KENKO[[#This Row],[//]]-2)))</f>
        <v/>
      </c>
      <c r="O165" s="8" t="str">
        <f ca="1">IF(KENKO[[#This Row],[//]]="","",INDEX([6]!NOTA[DISC 1],KENKO[[#This Row],[//]]-2))</f>
        <v/>
      </c>
      <c r="P165" s="8" t="str">
        <f ca="1">IF(KENKO[[#This Row],[//]]="","",INDEX([6]!NOTA[DISC 2],KENKO[[#This Row],[//]]-2))</f>
        <v/>
      </c>
      <c r="Q165" s="5" t="str">
        <f ca="1">IF(KENKO[[#This Row],[//]]="","",INDEX([6]!NOTA[JUMLAH],KENKO[[#This Row],[//]]-2)*(100%-IF(ISNUMBER(KENKO[[#This Row],[DISC 1 (%)]]),KENKO[[#This Row],[DISC 1 (%)]],0)))</f>
        <v/>
      </c>
      <c r="R1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Row],[//]]="","",INDEX([6]!NOTA[NAMA BARANG],KENKO[[#This Row],[//]]-2))</f>
        <v/>
      </c>
      <c r="V165" s="4" t="str">
        <f ca="1">LOWER(SUBSTITUTE(SUBSTITUTE(SUBSTITUTE(SUBSTITUTE(SUBSTITUTE(SUBSTITUTE(SUBSTITUTE(SUBSTITUTE(KENKO[[#This Row],[N.B.nota]]," ",""),"-",""),"(",""),")",""),".",""),",",""),"/",""),"""",""))</f>
        <v/>
      </c>
      <c r="W165" s="4" t="s">
        <v>136</v>
      </c>
      <c r="X165" s="4" t="str">
        <f ca="1">IF(KENKO[[#This Row],[N.B.nota]]="","",ADDRESS(ROW(KENKO[QB]),COLUMN(KENKO[QB]))&amp;":"&amp;ADDRESS(ROW(),COLUMN(KENKO[QB])))</f>
        <v/>
      </c>
      <c r="Y165" s="14" t="str">
        <f ca="1">IF(KENKO[[#This Row],[//]]="","",HYPERLINK("[..\\DB.xlsx]DB!e"&amp;MATCH(KENKO[[#This Row],[concat]],[4]!db[NB NOTA_C],0)+1,"&gt;"))</f>
        <v/>
      </c>
    </row>
    <row r="166" spans="1:25" x14ac:dyDescent="0.25">
      <c r="A166" s="4" t="s">
        <v>116</v>
      </c>
      <c r="B166" s="6">
        <f ca="1">IF(KENKO[[#This Row],[N_ID]]="","",INDEX(Table1[ID],MATCH(KENKO[[#This Row],[N_ID]],Table1[N_ID],0)))</f>
        <v>138</v>
      </c>
      <c r="C166" s="6" t="str">
        <f ca="1">IF(KENKO[[#This Row],[ID NOTA]]="","",HYPERLINK("[NOTA_.xlsx]NOTA!e"&amp;INDEX([6]!PAJAK[//],MATCH(KENKO[[#This Row],[ID NOTA]],[6]!PAJAK[ID],0)),"&gt;") )</f>
        <v>&gt;</v>
      </c>
      <c r="D166" s="6">
        <f ca="1">IF(KENKO[[#This Row],[ID NOTA]]="","",INDEX(Table1[QB],MATCH(KENKO[[#This Row],[ID NOTA]],Table1[ID],0)))</f>
        <v>10</v>
      </c>
      <c r="E16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684</v>
      </c>
      <c r="F166" s="6" t="e">
        <f ca="1">IF(KENKO[[#This Row],[NO. NOTA]]="","",INDEX([5]KE!$A:$A,MATCH(KENKO[[#This Row],[NO. NOTA]],[5]KE!$D:$D,0)))</f>
        <v>#N/A</v>
      </c>
      <c r="G166" s="3">
        <f ca="1">IF(KENKO[[#This Row],[ID NOTA]]="","",INDEX([6]!NOTA[TGL_H],MATCH(KENKO[[#This Row],[ID NOTA]],[6]!NOTA[ID],0)))</f>
        <v>44767</v>
      </c>
      <c r="H166" s="3">
        <f ca="1">IF(KENKO[[#This Row],[ID NOTA]]="","",INDEX([6]!NOTA[TGL.NOTA],MATCH(KENKO[[#This Row],[ID NOTA]],[6]!NOTA[ID],0)))</f>
        <v>44763</v>
      </c>
      <c r="I166" s="19" t="str">
        <f ca="1">IF(KENKO[[#This Row],[ID NOTA]]="","",INDEX([6]!NOTA[NO.NOTA],MATCH(KENKO[[#This Row],[ID NOTA]],[6]!NOTA[ID],0)))</f>
        <v>22071971</v>
      </c>
      <c r="J166" s="4" t="s">
        <v>167</v>
      </c>
      <c r="K166" s="6" t="str">
        <f>""</f>
        <v/>
      </c>
      <c r="L166" s="6">
        <f ca="1">IF(KENKO[//]="","",IF(INDEX([6]!NOTA[QTY],KENKO[//]-2)="",INDEX([6]!NOTA[C],KENKO[//]-2),INDEX([6]!NOTA[QTY],KENKO[//]-2)))</f>
        <v>2</v>
      </c>
      <c r="M166" s="6" t="str">
        <f ca="1">IF(KENKO[//]="","",IF(INDEX([6]!NOTA[STN],KENKO[//]-2)="","CTN",INDEX([6]!NOTA[STN],KENKO[//]-2)))</f>
        <v>CTN</v>
      </c>
      <c r="N166" s="5">
        <f ca="1">IF(KENKO[[#This Row],[//]]="","",IF(INDEX([6]!NOTA[HARGA/ CTN],KENKO[[#This Row],[//]]-2)="",INDEX([6]!NOTA[HARGA SATUAN],KENKO[//]-2),INDEX([6]!NOTA[HARGA/ CTN],KENKO[[#This Row],[//]]-2)))</f>
        <v>1900800</v>
      </c>
      <c r="O166" s="8">
        <f ca="1">IF(KENKO[[#This Row],[//]]="","",INDEX([6]!NOTA[DISC 1],KENKO[[#This Row],[//]]-2))</f>
        <v>0.17</v>
      </c>
      <c r="P166" s="8">
        <f ca="1">IF(KENKO[[#This Row],[//]]="","",INDEX([6]!NOTA[DISC 2],KENKO[[#This Row],[//]]-2))</f>
        <v>0</v>
      </c>
      <c r="Q166" s="5">
        <f ca="1">IF(KENKO[[#This Row],[//]]="","",INDEX([6]!NOTA[JUMLAH],KENKO[[#This Row],[//]]-2)*(100%-IF(ISNUMBER(KENKO[[#This Row],[DISC 1 (%)]]),KENKO[[#This Row],[DISC 1 (%)]],0)))</f>
        <v>3155328</v>
      </c>
      <c r="R1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Row],[//]]="","",INDEX([6]!NOTA[NAMA BARANG],KENKO[[#This Row],[//]]-2))</f>
        <v>KENKO CORRECTION FLUID KE-01</v>
      </c>
      <c r="V16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6" s="4" t="s">
        <v>137</v>
      </c>
      <c r="X166" s="4" t="str">
        <f ca="1">IF(KENKO[[#This Row],[N.B.nota]]="","",ADDRESS(ROW(KENKO[QB]),COLUMN(KENKO[QB]))&amp;":"&amp;ADDRESS(ROW(),COLUMN(KENKO[QB])))</f>
        <v>$D$3:$D$166</v>
      </c>
      <c r="Y166" s="14" t="str">
        <f ca="1">IF(KENKO[[#This Row],[//]]="","",HYPERLINK("[..\\DB.xlsx]DB!e"&amp;MATCH(KENKO[[#This Row],[concat]],[4]!db[NB NOTA_C],0)+1,"&gt;"))</f>
        <v>&gt;</v>
      </c>
    </row>
    <row r="167" spans="1:25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NOTA]]="","",HYPERLINK("[NOTA_.xlsx]NOTA!e"&amp;INDEX([6]!PAJAK[//],MATCH(KENKO[[#This Row],[ID NOTA]],[6]!PAJAK[ID],0)),"&gt;")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685</v>
      </c>
      <c r="F167" s="6" t="str">
        <f>IF(KENKO[[#This Row],[NO. NOTA]]="","",INDEX([5]KE!$A:$A,MATCH(KENKO[[#This Row],[NO. NOTA]],[5]KE!$D:$D,0)))</f>
        <v/>
      </c>
      <c r="G167" s="3" t="str">
        <f>IF(KENKO[[#This Row],[ID NOTA]]="","",INDEX([6]!NOTA[TGL_H],MATCH(KENKO[[#This Row],[ID NOTA]],[6]!NOTA[ID],0)))</f>
        <v/>
      </c>
      <c r="H167" s="3" t="str">
        <f>IF(KENKO[[#This Row],[ID NOTA]]="","",INDEX([6]!NOTA[TGL.NOTA],MATCH(KENKO[[#This Row],[ID NOTA]],[6]!NOTA[ID],0)))</f>
        <v/>
      </c>
      <c r="I167" s="19" t="str">
        <f>IF(KENKO[[#This Row],[ID NOTA]]="","",INDEX([6]!NOTA[NO.NOTA],MATCH(KENKO[[#This Row],[ID NOTA]],[6]!NOTA[ID],0)))</f>
        <v/>
      </c>
      <c r="J167" s="4" t="s">
        <v>238</v>
      </c>
      <c r="K167" s="6" t="str">
        <f>""</f>
        <v/>
      </c>
      <c r="L167" s="6">
        <f ca="1">IF(KENKO[//]="","",IF(INDEX([6]!NOTA[QTY],KENKO[//]-2)="",INDEX([6]!NOTA[C],KENKO[//]-2),INDEX([6]!NOTA[QTY],KENKO[//]-2)))</f>
        <v>5</v>
      </c>
      <c r="M167" s="6" t="str">
        <f ca="1">IF(KENKO[//]="","",IF(INDEX([6]!NOTA[STN],KENKO[//]-2)="","CTN",INDEX([6]!NOTA[STN],KENKO[//]-2)))</f>
        <v>CTN</v>
      </c>
      <c r="N167" s="5">
        <f ca="1">IF(KENKO[[#This Row],[//]]="","",IF(INDEX([6]!NOTA[HARGA/ CTN],KENKO[[#This Row],[//]]-2)="",INDEX([6]!NOTA[HARGA SATUAN],KENKO[//]-2),INDEX([6]!NOTA[HARGA/ CTN],KENKO[[#This Row],[//]]-2)))</f>
        <v>1152000</v>
      </c>
      <c r="O167" s="8">
        <f ca="1">IF(KENKO[[#This Row],[//]]="","",INDEX([6]!NOTA[DISC 1],KENKO[[#This Row],[//]]-2))</f>
        <v>0.17</v>
      </c>
      <c r="P167" s="8">
        <f ca="1">IF(KENKO[[#This Row],[//]]="","",INDEX([6]!NOTA[DISC 2],KENKO[[#This Row],[//]]-2))</f>
        <v>0</v>
      </c>
      <c r="Q167" s="5">
        <f ca="1">IF(KENKO[[#This Row],[//]]="","",INDEX([6]!NOTA[JUMLAH],KENKO[[#This Row],[//]]-2)*(100%-IF(ISNUMBER(KENKO[[#This Row],[DISC 1 (%)]]),KENKO[[#This Row],[DISC 1 (%)]],0)))</f>
        <v>4780800</v>
      </c>
      <c r="R1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Row],[//]]="","",INDEX([6]!NOTA[NAMA BARANG],KENKO[[#This Row],[//]]-2))</f>
        <v>KENKO DESK SET K-8312</v>
      </c>
      <c r="V167" s="4" t="str">
        <f ca="1">LOWER(SUBSTITUTE(SUBSTITUTE(SUBSTITUTE(SUBSTITUTE(SUBSTITUTE(SUBSTITUTE(SUBSTITUTE(SUBSTITUTE(KENKO[[#This Row],[N.B.nota]]," ",""),"-",""),"(",""),")",""),".",""),",",""),"/",""),"""",""))</f>
        <v>kenkodesksetk8312</v>
      </c>
      <c r="W167" s="4" t="s">
        <v>137</v>
      </c>
      <c r="X167" s="4" t="str">
        <f ca="1">IF(KENKO[[#This Row],[N.B.nota]]="","",ADDRESS(ROW(KENKO[QB]),COLUMN(KENKO[QB]))&amp;":"&amp;ADDRESS(ROW(),COLUMN(KENKO[QB])))</f>
        <v>$D$3:$D$167</v>
      </c>
      <c r="Y167" s="14" t="str">
        <f ca="1">IF(KENKO[[#This Row],[//]]="","",HYPERLINK("[..\\DB.xlsx]DB!e"&amp;MATCH(KENKO[[#This Row],[concat]],[4]!db[NB NOTA_C],0)+1,"&gt;"))</f>
        <v>&gt;</v>
      </c>
    </row>
    <row r="168" spans="1:25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NOTA]]="","",HYPERLINK("[NOTA_.xlsx]NOTA!e"&amp;INDEX([6]!PAJAK[//],MATCH(KENKO[[#This Row],[ID NOTA]],[6]!PAJAK[ID],0)),"&gt;") )</f>
        <v/>
      </c>
      <c r="D168" s="6" t="str">
        <f>IF(KENKO[[#This Row],[ID NOTA]]="","",INDEX(Table1[QB],MATCH(KENKO[[#This Row],[ID NOTA]],Table1[ID],0)))</f>
        <v/>
      </c>
      <c r="E16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686</v>
      </c>
      <c r="F168" s="6" t="str">
        <f>IF(KENKO[[#This Row],[NO. NOTA]]="","",INDEX([5]KE!$A:$A,MATCH(KENKO[[#This Row],[NO. NOTA]],[5]KE!$D:$D,0)))</f>
        <v/>
      </c>
      <c r="G168" s="3" t="str">
        <f>IF(KENKO[[#This Row],[ID NOTA]]="","",INDEX([6]!NOTA[TGL_H],MATCH(KENKO[[#This Row],[ID NOTA]],[6]!NOTA[ID],0)))</f>
        <v/>
      </c>
      <c r="H168" s="3" t="str">
        <f>IF(KENKO[[#This Row],[ID NOTA]]="","",INDEX([6]!NOTA[TGL.NOTA],MATCH(KENKO[[#This Row],[ID NOTA]],[6]!NOTA[ID],0)))</f>
        <v/>
      </c>
      <c r="I168" s="19" t="str">
        <f>IF(KENKO[[#This Row],[ID NOTA]]="","",INDEX([6]!NOTA[NO.NOTA],MATCH(KENKO[[#This Row],[ID NOTA]],[6]!NOTA[ID],0)))</f>
        <v/>
      </c>
      <c r="J168" s="4" t="s">
        <v>191</v>
      </c>
      <c r="K168" s="6" t="str">
        <f>""</f>
        <v/>
      </c>
      <c r="L168" s="6">
        <f ca="1">IF(KENKO[//]="","",IF(INDEX([6]!NOTA[QTY],KENKO[//]-2)="",INDEX([6]!NOTA[C],KENKO[//]-2),INDEX([6]!NOTA[QTY],KENKO[//]-2)))</f>
        <v>5</v>
      </c>
      <c r="M168" s="6" t="str">
        <f ca="1">IF(KENKO[//]="","",IF(INDEX([6]!NOTA[STN],KENKO[//]-2)="","CTN",INDEX([6]!NOTA[STN],KENKO[//]-2)))</f>
        <v>CTN</v>
      </c>
      <c r="N168" s="5">
        <f ca="1">IF(KENKO[[#This Row],[//]]="","",IF(INDEX([6]!NOTA[HARGA/ CTN],KENKO[[#This Row],[//]]-2)="",INDEX([6]!NOTA[HARGA SATUAN],KENKO[//]-2),INDEX([6]!NOTA[HARGA/ CTN],KENKO[[#This Row],[//]]-2)))</f>
        <v>729600</v>
      </c>
      <c r="O168" s="8">
        <f ca="1">IF(KENKO[[#This Row],[//]]="","",INDEX([6]!NOTA[DISC 1],KENKO[[#This Row],[//]]-2))</f>
        <v>0.17</v>
      </c>
      <c r="P168" s="8">
        <f ca="1">IF(KENKO[[#This Row],[//]]="","",INDEX([6]!NOTA[DISC 2],KENKO[[#This Row],[//]]-2))</f>
        <v>0</v>
      </c>
      <c r="Q168" s="5">
        <f ca="1">IF(KENKO[[#This Row],[//]]="","",INDEX([6]!NOTA[JUMLAH],KENKO[[#This Row],[//]]-2)*(100%-IF(ISNUMBER(KENKO[[#This Row],[DISC 1 (%)]]),KENKO[[#This Row],[DISC 1 (%)]],0)))</f>
        <v>3027840</v>
      </c>
      <c r="R1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Row],[//]]="","",INDEX([6]!NOTA[NAMA BARANG],KENKO[[#This Row],[//]]-2))</f>
        <v>KENKO LOOSE LEAF A5-LL 50-2070</v>
      </c>
      <c r="V168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68" s="4" t="s">
        <v>137</v>
      </c>
      <c r="X168" s="4" t="str">
        <f ca="1">IF(KENKO[[#This Row],[N.B.nota]]="","",ADDRESS(ROW(KENKO[QB]),COLUMN(KENKO[QB]))&amp;":"&amp;ADDRESS(ROW(),COLUMN(KENKO[QB])))</f>
        <v>$D$3:$D$168</v>
      </c>
      <c r="Y168" s="14" t="str">
        <f ca="1">IF(KENKO[[#This Row],[//]]="","",HYPERLINK("[..\\DB.xlsx]DB!e"&amp;MATCH(KENKO[[#This Row],[concat]],[4]!db[NB NOTA_C],0)+1,"&gt;"))</f>
        <v>&gt;</v>
      </c>
    </row>
    <row r="169" spans="1:25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NOTA]]="","",HYPERLINK("[NOTA_.xlsx]NOTA!e"&amp;INDEX([6]!PAJAK[//],MATCH(KENKO[[#This Row],[ID NOTA]],[6]!PAJAK[ID],0)),"&gt;") )</f>
        <v/>
      </c>
      <c r="D169" s="6" t="str">
        <f>IF(KENKO[[#This Row],[ID NOTA]]="","",INDEX(Table1[QB],MATCH(KENKO[[#This Row],[ID NOTA]],Table1[ID],0)))</f>
        <v/>
      </c>
      <c r="E16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687</v>
      </c>
      <c r="F169" s="6" t="str">
        <f>IF(KENKO[[#This Row],[NO. NOTA]]="","",INDEX([5]KE!$A:$A,MATCH(KENKO[[#This Row],[NO. NOTA]],[5]KE!$D:$D,0)))</f>
        <v/>
      </c>
      <c r="G169" s="3" t="str">
        <f>IF(KENKO[[#This Row],[ID NOTA]]="","",INDEX([6]!NOTA[TGL_H],MATCH(KENKO[[#This Row],[ID NOTA]],[6]!NOTA[ID],0)))</f>
        <v/>
      </c>
      <c r="H169" s="3" t="str">
        <f>IF(KENKO[[#This Row],[ID NOTA]]="","",INDEX([6]!NOTA[TGL.NOTA],MATCH(KENKO[[#This Row],[ID NOTA]],[6]!NOTA[ID],0)))</f>
        <v/>
      </c>
      <c r="I169" s="19" t="str">
        <f>IF(KENKO[[#This Row],[ID NOTA]]="","",INDEX([6]!NOTA[NO.NOTA],MATCH(KENKO[[#This Row],[ID NOTA]],[6]!NOTA[ID],0)))</f>
        <v/>
      </c>
      <c r="J169" s="4" t="s">
        <v>239</v>
      </c>
      <c r="K169" s="6" t="str">
        <f>""</f>
        <v/>
      </c>
      <c r="L169" s="6">
        <f ca="1">IF(KENKO[//]="","",IF(INDEX([6]!NOTA[QTY],KENKO[//]-2)="",INDEX([6]!NOTA[C],KENKO[//]-2),INDEX([6]!NOTA[QTY],KENKO[//]-2)))</f>
        <v>5</v>
      </c>
      <c r="M169" s="6" t="str">
        <f ca="1">IF(KENKO[//]="","",IF(INDEX([6]!NOTA[STN],KENKO[//]-2)="","CTN",INDEX([6]!NOTA[STN],KENKO[//]-2)))</f>
        <v>CTN</v>
      </c>
      <c r="N169" s="5">
        <f ca="1">IF(KENKO[[#This Row],[//]]="","",IF(INDEX([6]!NOTA[HARGA/ CTN],KENKO[[#This Row],[//]]-2)="",INDEX([6]!NOTA[HARGA SATUAN],KENKO[//]-2),INDEX([6]!NOTA[HARGA/ CTN],KENKO[[#This Row],[//]]-2)))</f>
        <v>720000</v>
      </c>
      <c r="O169" s="8">
        <f ca="1">IF(KENKO[[#This Row],[//]]="","",INDEX([6]!NOTA[DISC 1],KENKO[[#This Row],[//]]-2))</f>
        <v>0.17</v>
      </c>
      <c r="P169" s="8">
        <f ca="1">IF(KENKO[[#This Row],[//]]="","",INDEX([6]!NOTA[DISC 2],KENKO[[#This Row],[//]]-2))</f>
        <v>0</v>
      </c>
      <c r="Q169" s="5">
        <f ca="1">IF(KENKO[[#This Row],[//]]="","",INDEX([6]!NOTA[JUMLAH],KENKO[[#This Row],[//]]-2)*(100%-IF(ISNUMBER(KENKO[[#This Row],[DISC 1 (%)]]),KENKO[[#This Row],[DISC 1 (%)]],0)))</f>
        <v>2988000</v>
      </c>
      <c r="R16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Row],[//]]="","",INDEX([6]!NOTA[NAMA BARANG],KENKO[[#This Row],[//]]-2))</f>
        <v>KENKO POCKET NOTE PN-501</v>
      </c>
      <c r="V169" s="4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69" s="4" t="s">
        <v>137</v>
      </c>
      <c r="X169" s="4" t="str">
        <f ca="1">IF(KENKO[[#This Row],[N.B.nota]]="","",ADDRESS(ROW(KENKO[QB]),COLUMN(KENKO[QB]))&amp;":"&amp;ADDRESS(ROW(),COLUMN(KENKO[QB])))</f>
        <v>$D$3:$D$169</v>
      </c>
      <c r="Y169" s="14" t="str">
        <f ca="1">IF(KENKO[[#This Row],[//]]="","",HYPERLINK("[..\\DB.xlsx]DB!e"&amp;MATCH(KENKO[[#This Row],[concat]],[4]!db[NB NOTA_C],0)+1,"&gt;"))</f>
        <v>&gt;</v>
      </c>
    </row>
    <row r="170" spans="1:25" x14ac:dyDescent="0.25">
      <c r="A170" s="4"/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NOTA]]="","",HYPERLINK("[NOTA_.xlsx]NOTA!e"&amp;INDEX([6]!PAJAK[//],MATCH(KENKO[[#This Row],[ID NOTA]],[6]!PAJAK[ID],0)),"&gt;") )</f>
        <v/>
      </c>
      <c r="D170" s="6" t="str">
        <f>IF(KENKO[[#This Row],[ID NOTA]]="","",INDEX(Table1[QB],MATCH(KENKO[[#This Row],[ID NOTA]],Table1[ID],0)))</f>
        <v/>
      </c>
      <c r="E17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688</v>
      </c>
      <c r="F170" s="6" t="str">
        <f>IF(KENKO[[#This Row],[NO. NOTA]]="","",INDEX([5]KE!$A:$A,MATCH(KENKO[[#This Row],[NO. NOTA]],[5]KE!$D:$D,0)))</f>
        <v/>
      </c>
      <c r="G170" s="3" t="str">
        <f>IF(KENKO[[#This Row],[ID NOTA]]="","",INDEX([6]!NOTA[TGL_H],MATCH(KENKO[[#This Row],[ID NOTA]],[6]!NOTA[ID],0)))</f>
        <v/>
      </c>
      <c r="H170" s="3" t="str">
        <f>IF(KENKO[[#This Row],[ID NOTA]]="","",INDEX([6]!NOTA[TGL.NOTA],MATCH(KENKO[[#This Row],[ID NOTA]],[6]!NOTA[ID],0)))</f>
        <v/>
      </c>
      <c r="I170" s="19" t="str">
        <f>IF(KENKO[[#This Row],[ID NOTA]]="","",INDEX([6]!NOTA[NO.NOTA],MATCH(KENKO[[#This Row],[ID NOTA]],[6]!NOTA[ID],0)))</f>
        <v/>
      </c>
      <c r="J170" s="4" t="s">
        <v>240</v>
      </c>
      <c r="K170" s="6" t="str">
        <f>""</f>
        <v/>
      </c>
      <c r="L170" s="6">
        <f ca="1">IF(KENKO[//]="","",IF(INDEX([6]!NOTA[QTY],KENKO[//]-2)="",INDEX([6]!NOTA[C],KENKO[//]-2),INDEX([6]!NOTA[QTY],KENKO[//]-2)))</f>
        <v>5</v>
      </c>
      <c r="M170" s="6" t="str">
        <f ca="1">IF(KENKO[//]="","",IF(INDEX([6]!NOTA[STN],KENKO[//]-2)="","CTN",INDEX([6]!NOTA[STN],KENKO[//]-2)))</f>
        <v>CTN</v>
      </c>
      <c r="N170" s="5">
        <f ca="1">IF(KENKO[[#This Row],[//]]="","",IF(INDEX([6]!NOTA[HARGA/ CTN],KENKO[[#This Row],[//]]-2)="",INDEX([6]!NOTA[HARGA SATUAN],KENKO[//]-2),INDEX([6]!NOTA[HARGA/ CTN],KENKO[[#This Row],[//]]-2)))</f>
        <v>915000</v>
      </c>
      <c r="O170" s="8">
        <f ca="1">IF(KENKO[[#This Row],[//]]="","",INDEX([6]!NOTA[DISC 1],KENKO[[#This Row],[//]]-2))</f>
        <v>0.17</v>
      </c>
      <c r="P170" s="8">
        <f ca="1">IF(KENKO[[#This Row],[//]]="","",INDEX([6]!NOTA[DISC 2],KENKO[[#This Row],[//]]-2))</f>
        <v>0</v>
      </c>
      <c r="Q170" s="5">
        <f ca="1">IF(KENKO[[#This Row],[//]]="","",INDEX([6]!NOTA[JUMLAH],KENKO[[#This Row],[//]]-2)*(100%-IF(ISNUMBER(KENKO[[#This Row],[DISC 1 (%)]]),KENKO[[#This Row],[DISC 1 (%)]],0)))</f>
        <v>3797250</v>
      </c>
      <c r="R1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Row],[//]]="","",INDEX([6]!NOTA[NAMA BARANG],KENKO[[#This Row],[//]]-2))</f>
        <v>KENKO BUKU TAMU BT-3224-01 (KEMBANG)</v>
      </c>
      <c r="V170" s="4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170" s="4" t="s">
        <v>137</v>
      </c>
      <c r="X170" s="4" t="str">
        <f ca="1">IF(KENKO[[#This Row],[N.B.nota]]="","",ADDRESS(ROW(KENKO[QB]),COLUMN(KENKO[QB]))&amp;":"&amp;ADDRESS(ROW(),COLUMN(KENKO[QB])))</f>
        <v>$D$3:$D$170</v>
      </c>
      <c r="Y170" s="14" t="str">
        <f ca="1">IF(KENKO[[#This Row],[//]]="","",HYPERLINK("[..\\DB.xlsx]DB!e"&amp;MATCH(KENKO[[#This Row],[concat]],[4]!db[NB NOTA_C],0)+1,"&gt;"))</f>
        <v>&gt;</v>
      </c>
    </row>
    <row r="171" spans="1:25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NOTA]]="","",HYPERLINK("[NOTA_.xlsx]NOTA!e"&amp;INDEX([6]!PAJAK[//],MATCH(KENKO[[#This Row],[ID NOTA]],[6]!PAJAK[ID],0)),"&gt;")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689</v>
      </c>
      <c r="F171" s="6" t="str">
        <f>IF(KENKO[[#This Row],[NO. NOTA]]="","",INDEX([5]KE!$A:$A,MATCH(KENKO[[#This Row],[NO. NOTA]],[5]KE!$D:$D,0)))</f>
        <v/>
      </c>
      <c r="G171" s="3" t="str">
        <f>IF(KENKO[[#This Row],[ID NOTA]]="","",INDEX([6]!NOTA[TGL_H],MATCH(KENKO[[#This Row],[ID NOTA]],[6]!NOTA[ID],0)))</f>
        <v/>
      </c>
      <c r="H171" s="3" t="str">
        <f>IF(KENKO[[#This Row],[ID NOTA]]="","",INDEX([6]!NOTA[TGL.NOTA],MATCH(KENKO[[#This Row],[ID NOTA]],[6]!NOTA[ID],0)))</f>
        <v/>
      </c>
      <c r="I171" s="19" t="str">
        <f>IF(KENKO[[#This Row],[ID NOTA]]="","",INDEX([6]!NOTA[NO.NOTA],MATCH(KENKO[[#This Row],[ID NOTA]],[6]!NOTA[ID],0)))</f>
        <v/>
      </c>
      <c r="J171" s="4" t="s">
        <v>241</v>
      </c>
      <c r="K171" s="6" t="str">
        <f>""</f>
        <v/>
      </c>
      <c r="L171" s="6">
        <f ca="1">IF(KENKO[//]="","",IF(INDEX([6]!NOTA[QTY],KENKO[//]-2)="",INDEX([6]!NOTA[C],KENKO[//]-2),INDEX([6]!NOTA[QTY],KENKO[//]-2)))</f>
        <v>5</v>
      </c>
      <c r="M171" s="6" t="str">
        <f ca="1">IF(KENKO[//]="","",IF(INDEX([6]!NOTA[STN],KENKO[//]-2)="","CTN",INDEX([6]!NOTA[STN],KENKO[//]-2)))</f>
        <v>CTN</v>
      </c>
      <c r="N171" s="5">
        <f ca="1">IF(KENKO[[#This Row],[//]]="","",IF(INDEX([6]!NOTA[HARGA/ CTN],KENKO[[#This Row],[//]]-2)="",INDEX([6]!NOTA[HARGA SATUAN],KENKO[//]-2),INDEX([6]!NOTA[HARGA/ CTN],KENKO[[#This Row],[//]]-2)))</f>
        <v>900000</v>
      </c>
      <c r="O171" s="8">
        <f ca="1">IF(KENKO[[#This Row],[//]]="","",INDEX([6]!NOTA[DISC 1],KENKO[[#This Row],[//]]-2))</f>
        <v>0.17</v>
      </c>
      <c r="P171" s="8">
        <f ca="1">IF(KENKO[[#This Row],[//]]="","",INDEX([6]!NOTA[DISC 2],KENKO[[#This Row],[//]]-2))</f>
        <v>0</v>
      </c>
      <c r="Q171" s="5">
        <f ca="1">IF(KENKO[[#This Row],[//]]="","",INDEX([6]!NOTA[JUMLAH],KENKO[[#This Row],[//]]-2)*(100%-IF(ISNUMBER(KENKO[[#This Row],[DISC 1 (%)]]),KENKO[[#This Row],[DISC 1 (%)]],0)))</f>
        <v>3735000</v>
      </c>
      <c r="R17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Row],[//]]="","",INDEX([6]!NOTA[NAMA BARANG],KENKO[[#This Row],[//]]-2))</f>
        <v>KENKO BUKU TAMU BT-3224-BTK 02 (BATIK)</v>
      </c>
      <c r="V171" s="4" t="str">
        <f ca="1">LOWER(SUBSTITUTE(SUBSTITUTE(SUBSTITUTE(SUBSTITUTE(SUBSTITUTE(SUBSTITUTE(SUBSTITUTE(SUBSTITUTE(KENKO[[#This Row],[N.B.nota]]," ",""),"-",""),"(",""),")",""),".",""),",",""),"/",""),"""",""))</f>
        <v>kenkobukutamubt3224btk02batik</v>
      </c>
      <c r="W171" s="4" t="s">
        <v>137</v>
      </c>
      <c r="X171" s="4" t="str">
        <f ca="1">IF(KENKO[[#This Row],[N.B.nota]]="","",ADDRESS(ROW(KENKO[QB]),COLUMN(KENKO[QB]))&amp;":"&amp;ADDRESS(ROW(),COLUMN(KENKO[QB])))</f>
        <v>$D$3:$D$171</v>
      </c>
      <c r="Y171" s="14" t="str">
        <f ca="1">IF(KENKO[[#This Row],[//]]="","",HYPERLINK("[..\\DB.xlsx]DB!e"&amp;MATCH(KENKO[[#This Row],[concat]],[4]!db[NB NOTA_C],0)+1,"&gt;"))</f>
        <v>&gt;</v>
      </c>
    </row>
    <row r="172" spans="1:25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NOTA]]="","",HYPERLINK("[NOTA_.xlsx]NOTA!e"&amp;INDEX([6]!PAJAK[//],MATCH(KENKO[[#This Row],[ID NOTA]],[6]!PAJAK[ID],0)),"&gt;")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690</v>
      </c>
      <c r="F172" s="6" t="str">
        <f>IF(KENKO[[#This Row],[NO. NOTA]]="","",INDEX([5]KE!$A:$A,MATCH(KENKO[[#This Row],[NO. NOTA]],[5]KE!$D:$D,0)))</f>
        <v/>
      </c>
      <c r="G172" s="3" t="str">
        <f>IF(KENKO[[#This Row],[ID NOTA]]="","",INDEX([6]!NOTA[TGL_H],MATCH(KENKO[[#This Row],[ID NOTA]],[6]!NOTA[ID],0)))</f>
        <v/>
      </c>
      <c r="H172" s="3" t="str">
        <f>IF(KENKO[[#This Row],[ID NOTA]]="","",INDEX([6]!NOTA[TGL.NOTA],MATCH(KENKO[[#This Row],[ID NOTA]],[6]!NOTA[ID],0)))</f>
        <v/>
      </c>
      <c r="I172" s="19" t="str">
        <f>IF(KENKO[[#This Row],[ID NOTA]]="","",INDEX([6]!NOTA[NO.NOTA],MATCH(KENKO[[#This Row],[ID NOTA]],[6]!NOTA[ID],0)))</f>
        <v/>
      </c>
      <c r="J172" s="4" t="s">
        <v>182</v>
      </c>
      <c r="K172" s="6" t="str">
        <f>""</f>
        <v/>
      </c>
      <c r="L172" s="6">
        <f ca="1">IF(KENKO[//]="","",IF(INDEX([6]!NOTA[QTY],KENKO[//]-2)="",INDEX([6]!NOTA[C],KENKO[//]-2),INDEX([6]!NOTA[QTY],KENKO[//]-2)))</f>
        <v>5</v>
      </c>
      <c r="M172" s="6" t="str">
        <f ca="1">IF(KENKO[//]="","",IF(INDEX([6]!NOTA[STN],KENKO[//]-2)="","CTN",INDEX([6]!NOTA[STN],KENKO[//]-2)))</f>
        <v>CTN</v>
      </c>
      <c r="N172" s="5">
        <f ca="1">IF(KENKO[[#This Row],[//]]="","",IF(INDEX([6]!NOTA[HARGA/ CTN],KENKO[[#This Row],[//]]-2)="",INDEX([6]!NOTA[HARGA SATUAN],KENKO[//]-2),INDEX([6]!NOTA[HARGA/ CTN],KENKO[[#This Row],[//]]-2)))</f>
        <v>708000</v>
      </c>
      <c r="O172" s="8">
        <f ca="1">IF(KENKO[[#This Row],[//]]="","",INDEX([6]!NOTA[DISC 1],KENKO[[#This Row],[//]]-2))</f>
        <v>0.17</v>
      </c>
      <c r="P172" s="8">
        <f ca="1">IF(KENKO[[#This Row],[//]]="","",INDEX([6]!NOTA[DISC 2],KENKO[[#This Row],[//]]-2))</f>
        <v>0</v>
      </c>
      <c r="Q172" s="5">
        <f ca="1">IF(KENKO[[#This Row],[//]]="","",INDEX([6]!NOTA[JUMLAH],KENKO[[#This Row],[//]]-2)*(100%-IF(ISNUMBER(KENKO[[#This Row],[DISC 1 (%)]]),KENKO[[#This Row],[DISC 1 (%)]],0)))</f>
        <v>2938200</v>
      </c>
      <c r="R1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Row],[//]]="","",INDEX([6]!NOTA[NAMA BARANG],KENKO[[#This Row],[//]]-2))</f>
        <v>KENKO BUKU TAMU BT-2920-BTK 02 (BATIK)</v>
      </c>
      <c r="V172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72" s="4" t="s">
        <v>137</v>
      </c>
      <c r="X172" s="4" t="str">
        <f ca="1">IF(KENKO[[#This Row],[N.B.nota]]="","",ADDRESS(ROW(KENKO[QB]),COLUMN(KENKO[QB]))&amp;":"&amp;ADDRESS(ROW(),COLUMN(KENKO[QB])))</f>
        <v>$D$3:$D$172</v>
      </c>
      <c r="Y172" s="14" t="str">
        <f ca="1">IF(KENKO[[#This Row],[//]]="","",HYPERLINK("[..\\DB.xlsx]DB!e"&amp;MATCH(KENKO[[#This Row],[concat]],[4]!db[NB NOTA_C],0)+1,"&gt;"))</f>
        <v>&gt;</v>
      </c>
    </row>
    <row r="173" spans="1:25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NOTA]]="","",HYPERLINK("[NOTA_.xlsx]NOTA!e"&amp;INDEX([6]!PAJAK[//],MATCH(KENKO[[#This Row],[ID NOTA]],[6]!PAJAK[ID],0)),"&gt;")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691</v>
      </c>
      <c r="F173" s="6" t="str">
        <f>IF(KENKO[[#This Row],[NO. NOTA]]="","",INDEX([5]KE!$A:$A,MATCH(KENKO[[#This Row],[NO. NOTA]],[5]KE!$D:$D,0)))</f>
        <v/>
      </c>
      <c r="G173" s="3" t="str">
        <f>IF(KENKO[[#This Row],[ID NOTA]]="","",INDEX([6]!NOTA[TGL_H],MATCH(KENKO[[#This Row],[ID NOTA]],[6]!NOTA[ID],0)))</f>
        <v/>
      </c>
      <c r="H173" s="3" t="str">
        <f>IF(KENKO[[#This Row],[ID NOTA]]="","",INDEX([6]!NOTA[TGL.NOTA],MATCH(KENKO[[#This Row],[ID NOTA]],[6]!NOTA[ID],0)))</f>
        <v/>
      </c>
      <c r="I173" s="19" t="str">
        <f>IF(KENKO[[#This Row],[ID NOTA]]="","",INDEX([6]!NOTA[NO.NOTA],MATCH(KENKO[[#This Row],[ID NOTA]],[6]!NOTA[ID],0)))</f>
        <v/>
      </c>
      <c r="J173" s="4" t="s">
        <v>233</v>
      </c>
      <c r="K173" s="6" t="str">
        <f>""</f>
        <v/>
      </c>
      <c r="L173" s="6">
        <f ca="1">IF(KENKO[//]="","",IF(INDEX([6]!NOTA[QTY],KENKO[//]-2)="",INDEX([6]!NOTA[C],KENKO[//]-2),INDEX([6]!NOTA[QTY],KENKO[//]-2)))</f>
        <v>2</v>
      </c>
      <c r="M173" s="6" t="str">
        <f ca="1">IF(KENKO[//]="","",IF(INDEX([6]!NOTA[STN],KENKO[//]-2)="","CTN",INDEX([6]!NOTA[STN],KENKO[//]-2)))</f>
        <v>CTN</v>
      </c>
      <c r="N173" s="5">
        <f ca="1">IF(KENKO[[#This Row],[//]]="","",IF(INDEX([6]!NOTA[HARGA/ CTN],KENKO[[#This Row],[//]]-2)="",INDEX([6]!NOTA[HARGA SATUAN],KENKO[//]-2),INDEX([6]!NOTA[HARGA/ CTN],KENKO[[#This Row],[//]]-2)))</f>
        <v>720000</v>
      </c>
      <c r="O173" s="8">
        <f ca="1">IF(KENKO[[#This Row],[//]]="","",INDEX([6]!NOTA[DISC 1],KENKO[[#This Row],[//]]-2))</f>
        <v>0.17</v>
      </c>
      <c r="P173" s="8">
        <f ca="1">IF(KENKO[[#This Row],[//]]="","",INDEX([6]!NOTA[DISC 2],KENKO[[#This Row],[//]]-2))</f>
        <v>0</v>
      </c>
      <c r="Q173" s="5">
        <f ca="1">IF(KENKO[[#This Row],[//]]="","",INDEX([6]!NOTA[JUMLAH],KENKO[[#This Row],[//]]-2)*(100%-IF(ISNUMBER(KENKO[[#This Row],[DISC 1 (%)]]),KENKO[[#This Row],[DISC 1 (%)]],0)))</f>
        <v>1195200</v>
      </c>
      <c r="R1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Row],[//]]="","",INDEX([6]!NOTA[NAMA BARANG],KENKO[[#This Row],[//]]-2))</f>
        <v>KENKO BUKU TAMU BT-2920-01 (KEMBANG)</v>
      </c>
      <c r="V173" s="4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173" s="4" t="s">
        <v>137</v>
      </c>
      <c r="X173" s="4" t="str">
        <f ca="1">IF(KENKO[[#This Row],[N.B.nota]]="","",ADDRESS(ROW(KENKO[QB]),COLUMN(KENKO[QB]))&amp;":"&amp;ADDRESS(ROW(),COLUMN(KENKO[QB])))</f>
        <v>$D$3:$D$173</v>
      </c>
      <c r="Y173" s="14" t="str">
        <f ca="1">IF(KENKO[[#This Row],[//]]="","",HYPERLINK("[..\\DB.xlsx]DB!e"&amp;MATCH(KENKO[[#This Row],[concat]],[4]!db[NB NOTA_C],0)+1,"&gt;"))</f>
        <v>&gt;</v>
      </c>
    </row>
    <row r="174" spans="1:25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NOTA]]="","",HYPERLINK("[NOTA_.xlsx]NOTA!e"&amp;INDEX([6]!PAJAK[//],MATCH(KENKO[[#This Row],[ID NOTA]],[6]!PAJAK[ID],0)),"&gt;")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692</v>
      </c>
      <c r="F174" s="6" t="str">
        <f>IF(KENKO[[#This Row],[NO. NOTA]]="","",INDEX([5]KE!$A:$A,MATCH(KENKO[[#This Row],[NO. NOTA]],[5]KE!$D:$D,0)))</f>
        <v/>
      </c>
      <c r="G174" s="3" t="str">
        <f>IF(KENKO[[#This Row],[ID NOTA]]="","",INDEX([6]!NOTA[TGL_H],MATCH(KENKO[[#This Row],[ID NOTA]],[6]!NOTA[ID],0)))</f>
        <v/>
      </c>
      <c r="H174" s="3" t="str">
        <f>IF(KENKO[[#This Row],[ID NOTA]]="","",INDEX([6]!NOTA[TGL.NOTA],MATCH(KENKO[[#This Row],[ID NOTA]],[6]!NOTA[ID],0)))</f>
        <v/>
      </c>
      <c r="I174" s="19" t="str">
        <f>IF(KENKO[[#This Row],[ID NOTA]]="","",INDEX([6]!NOTA[NO.NOTA],MATCH(KENKO[[#This Row],[ID NOTA]],[6]!NOTA[ID],0)))</f>
        <v/>
      </c>
      <c r="J174" s="4" t="s">
        <v>235</v>
      </c>
      <c r="K174" s="6" t="str">
        <f>""</f>
        <v/>
      </c>
      <c r="L174" s="6">
        <f ca="1">IF(KENKO[//]="","",IF(INDEX([6]!NOTA[QTY],KENKO[//]-2)="",INDEX([6]!NOTA[C],KENKO[//]-2),INDEX([6]!NOTA[QTY],KENKO[//]-2)))</f>
        <v>2</v>
      </c>
      <c r="M174" s="6" t="str">
        <f ca="1">IF(KENKO[//]="","",IF(INDEX([6]!NOTA[STN],KENKO[//]-2)="","CTN",INDEX([6]!NOTA[STN],KENKO[//]-2)))</f>
        <v>CTN</v>
      </c>
      <c r="N174" s="5">
        <f ca="1">IF(KENKO[[#This Row],[//]]="","",IF(INDEX([6]!NOTA[HARGA/ CTN],KENKO[[#This Row],[//]]-2)="",INDEX([6]!NOTA[HARGA SATUAN],KENKO[//]-2),INDEX([6]!NOTA[HARGA/ CTN],KENKO[[#This Row],[//]]-2)))</f>
        <v>2112000</v>
      </c>
      <c r="O174" s="8">
        <f ca="1">IF(KENKO[[#This Row],[//]]="","",INDEX([6]!NOTA[DISC 1],KENKO[[#This Row],[//]]-2))</f>
        <v>0.17</v>
      </c>
      <c r="P174" s="8">
        <f ca="1">IF(KENKO[[#This Row],[//]]="","",INDEX([6]!NOTA[DISC 2],KENKO[[#This Row],[//]]-2))</f>
        <v>0</v>
      </c>
      <c r="Q174" s="5">
        <f ca="1">IF(KENKO[[#This Row],[//]]="","",INDEX([6]!NOTA[JUMLAH],KENKO[[#This Row],[//]]-2)*(100%-IF(ISNUMBER(KENKO[[#This Row],[DISC 1 (%)]]),KENKO[[#This Row],[DISC 1 (%)]],0)))</f>
        <v>3505920</v>
      </c>
      <c r="R1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Row],[//]]="","",INDEX([6]!NOTA[NAMA BARANG],KENKO[[#This Row],[//]]-2))</f>
        <v>KENKO PENCIL 2B-3181 HITAM CAP MERAH</v>
      </c>
      <c r="V174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74" s="4" t="s">
        <v>137</v>
      </c>
      <c r="X174" s="4" t="str">
        <f ca="1">IF(KENKO[[#This Row],[N.B.nota]]="","",ADDRESS(ROW(KENKO[QB]),COLUMN(KENKO[QB]))&amp;":"&amp;ADDRESS(ROW(),COLUMN(KENKO[QB])))</f>
        <v>$D$3:$D$174</v>
      </c>
      <c r="Y174" s="14" t="str">
        <f ca="1">IF(KENKO[[#This Row],[//]]="","",HYPERLINK("[..\\DB.xlsx]DB!e"&amp;MATCH(KENKO[[#This Row],[concat]],[4]!db[NB NOTA_C],0)+1,"&gt;"))</f>
        <v>&gt;</v>
      </c>
    </row>
    <row r="175" spans="1:25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NOTA]]="","",HYPERLINK("[NOTA_.xlsx]NOTA!e"&amp;INDEX([6]!PAJAK[//],MATCH(KENKO[[#This Row],[ID NOTA]],[6]!PAJAK[ID],0)),"&gt;")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693</v>
      </c>
      <c r="F175" s="6" t="str">
        <f>IF(KENKO[[#This Row],[NO. NOTA]]="","",INDEX([5]KE!$A:$A,MATCH(KENKO[[#This Row],[NO. NOTA]],[5]KE!$D:$D,0)))</f>
        <v/>
      </c>
      <c r="G175" s="3" t="str">
        <f>IF(KENKO[[#This Row],[ID NOTA]]="","",INDEX([6]!NOTA[TGL_H],MATCH(KENKO[[#This Row],[ID NOTA]],[6]!NOTA[ID],0)))</f>
        <v/>
      </c>
      <c r="H175" s="3" t="str">
        <f>IF(KENKO[[#This Row],[ID NOTA]]="","",INDEX([6]!NOTA[TGL.NOTA],MATCH(KENKO[[#This Row],[ID NOTA]],[6]!NOTA[ID],0)))</f>
        <v/>
      </c>
      <c r="I175" s="19" t="str">
        <f>IF(KENKO[[#This Row],[ID NOTA]]="","",INDEX([6]!NOTA[NO.NOTA],MATCH(KENKO[[#This Row],[ID NOTA]],[6]!NOTA[ID],0)))</f>
        <v/>
      </c>
      <c r="J175" s="4" t="s">
        <v>177</v>
      </c>
      <c r="K175" s="6" t="str">
        <f>""</f>
        <v/>
      </c>
      <c r="L175" s="6">
        <f ca="1">IF(KENKO[//]="","",IF(INDEX([6]!NOTA[QTY],KENKO[//]-2)="",INDEX([6]!NOTA[C],KENKO[//]-2),INDEX([6]!NOTA[QTY],KENKO[//]-2)))</f>
        <v>10</v>
      </c>
      <c r="M175" s="6" t="str">
        <f ca="1">IF(KENKO[//]="","",IF(INDEX([6]!NOTA[STN],KENKO[//]-2)="","CTN",INDEX([6]!NOTA[STN],KENKO[//]-2)))</f>
        <v>CTN</v>
      </c>
      <c r="N175" s="5">
        <f ca="1">IF(KENKO[[#This Row],[//]]="","",IF(INDEX([6]!NOTA[HARGA/ CTN],KENKO[[#This Row],[//]]-2)="",INDEX([6]!NOTA[HARGA SATUAN],KENKO[//]-2),INDEX([6]!NOTA[HARGA/ CTN],KENKO[[#This Row],[//]]-2)))</f>
        <v>3110400</v>
      </c>
      <c r="O175" s="8">
        <f ca="1">IF(KENKO[[#This Row],[//]]="","",INDEX([6]!NOTA[DISC 1],KENKO[[#This Row],[//]]-2))</f>
        <v>0.17</v>
      </c>
      <c r="P175" s="8">
        <f ca="1">IF(KENKO[[#This Row],[//]]="","",INDEX([6]!NOTA[DISC 2],KENKO[[#This Row],[//]]-2))</f>
        <v>0</v>
      </c>
      <c r="Q175" s="5">
        <f ca="1">IF(KENKO[[#This Row],[//]]="","",INDEX([6]!NOTA[JUMLAH],KENKO[[#This Row],[//]]-2)*(100%-IF(ISNUMBER(KENKO[[#This Row],[DISC 1 (%)]]),KENKO[[#This Row],[DISC 1 (%)]],0)))</f>
        <v>25816320</v>
      </c>
      <c r="R17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11252742</v>
      </c>
      <c r="S17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54939858</v>
      </c>
      <c r="T17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Row],[//]]="","",INDEX([6]!NOTA[NAMA BARANG],KENKO[[#This Row],[//]]-2))</f>
        <v>KENKO GEL PEN KE-303 T-GEL TRIANGULAR BLACK</v>
      </c>
      <c r="V175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75" s="4" t="s">
        <v>137</v>
      </c>
      <c r="X175" s="4" t="str">
        <f ca="1">IF(KENKO[[#This Row],[N.B.nota]]="","",ADDRESS(ROW(KENKO[QB]),COLUMN(KENKO[QB]))&amp;":"&amp;ADDRESS(ROW(),COLUMN(KENKO[QB])))</f>
        <v>$D$3:$D$175</v>
      </c>
      <c r="Y175" s="14" t="str">
        <f ca="1">IF(KENKO[[#This Row],[//]]="","",HYPERLINK("[..\\DB.xlsx]DB!e"&amp;MATCH(KENKO[[#This Row],[concat]],[4]!db[NB NOTA_C],0)+1,"&gt;"))</f>
        <v>&gt;</v>
      </c>
    </row>
    <row r="176" spans="1:25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NOTA]]="","",HYPERLINK("[NOTA_.xlsx]NOTA!e"&amp;INDEX([6]!PAJAK[//],MATCH(KENKO[[#This Row],[ID NOTA]],[6]!PAJAK[ID],0)),"&gt;") )</f>
        <v/>
      </c>
      <c r="D176" s="6" t="str">
        <f>IF(KENKO[[#This Row],[ID NOTA]]="","",INDEX(Table1[QB],MATCH(KENKO[[#This Row],[ID NOTA]],Table1[ID],0)))</f>
        <v/>
      </c>
      <c r="E17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6" s="6" t="str">
        <f>IF(KENKO[[#This Row],[NO. NOTA]]="","",INDEX([5]KE!$A:$A,MATCH(KENKO[[#This Row],[NO. NOTA]],[5]KE!$D:$D,0)))</f>
        <v/>
      </c>
      <c r="G176" s="3" t="str">
        <f>IF(KENKO[[#This Row],[ID NOTA]]="","",INDEX([6]!NOTA[TGL_H],MATCH(KENKO[[#This Row],[ID NOTA]],[6]!NOTA[ID],0)))</f>
        <v/>
      </c>
      <c r="H176" s="3" t="str">
        <f>IF(KENKO[[#This Row],[ID NOTA]]="","",INDEX([6]!NOTA[TGL.NOTA],MATCH(KENKO[[#This Row],[ID NOTA]],[6]!NOTA[ID],0)))</f>
        <v/>
      </c>
      <c r="I176" s="19" t="str">
        <f>IF(KENKO[[#This Row],[ID NOTA]]="","",INDEX([6]!NOTA[NO.NOTA],MATCH(KENKO[[#This Row],[ID NOTA]],[6]!NOTA[ID],0)))</f>
        <v/>
      </c>
      <c r="J176" s="4" t="s">
        <v>136</v>
      </c>
      <c r="K176" s="6" t="str">
        <f>""</f>
        <v/>
      </c>
      <c r="L176" s="6" t="str">
        <f ca="1">IF(KENKO[//]="","",IF(INDEX([6]!NOTA[QTY],KENKO[//]-2)="",INDEX([6]!NOTA[C],KENKO[//]-2),INDEX([6]!NOTA[QTY],KENKO[//]-2)))</f>
        <v/>
      </c>
      <c r="M176" s="6" t="str">
        <f ca="1">IF(KENKO[//]="","",IF(INDEX([6]!NOTA[STN],KENKO[//]-2)="","CTN",INDEX([6]!NOTA[STN],KENKO[//]-2)))</f>
        <v/>
      </c>
      <c r="N176" s="5" t="str">
        <f ca="1">IF(KENKO[[#This Row],[//]]="","",IF(INDEX([6]!NOTA[HARGA/ CTN],KENKO[[#This Row],[//]]-2)="",INDEX([6]!NOTA[HARGA SATUAN],KENKO[//]-2),INDEX([6]!NOTA[HARGA/ CTN],KENKO[[#This Row],[//]]-2)))</f>
        <v/>
      </c>
      <c r="O176" s="8" t="str">
        <f ca="1">IF(KENKO[[#This Row],[//]]="","",INDEX([6]!NOTA[DISC 1],KENKO[[#This Row],[//]]-2))</f>
        <v/>
      </c>
      <c r="P176" s="8" t="str">
        <f ca="1">IF(KENKO[[#This Row],[//]]="","",INDEX([6]!NOTA[DISC 2],KENKO[[#This Row],[//]]-2))</f>
        <v/>
      </c>
      <c r="Q176" s="5" t="str">
        <f ca="1">IF(KENKO[[#This Row],[//]]="","",INDEX([6]!NOTA[JUMLAH],KENKO[[#This Row],[//]]-2)*(100%-IF(ISNUMBER(KENKO[[#This Row],[DISC 1 (%)]]),KENKO[[#This Row],[DISC 1 (%)]],0)))</f>
        <v/>
      </c>
      <c r="R1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Row],[//]]="","",INDEX([6]!NOTA[NAMA BARANG],KENKO[[#This Row],[//]]-2))</f>
        <v/>
      </c>
      <c r="V176" s="4" t="str">
        <f ca="1">LOWER(SUBSTITUTE(SUBSTITUTE(SUBSTITUTE(SUBSTITUTE(SUBSTITUTE(SUBSTITUTE(SUBSTITUTE(SUBSTITUTE(KENKO[[#This Row],[N.B.nota]]," ",""),"-",""),"(",""),")",""),".",""),",",""),"/",""),"""",""))</f>
        <v/>
      </c>
      <c r="W176" s="4" t="s">
        <v>136</v>
      </c>
      <c r="X176" s="4" t="str">
        <f ca="1">IF(KENKO[[#This Row],[N.B.nota]]="","",ADDRESS(ROW(KENKO[QB]),COLUMN(KENKO[QB]))&amp;":"&amp;ADDRESS(ROW(),COLUMN(KENKO[QB])))</f>
        <v/>
      </c>
      <c r="Y176" s="14" t="str">
        <f ca="1">IF(KENKO[[#This Row],[//]]="","",HYPERLINK("[..\\DB.xlsx]DB!e"&amp;MATCH(KENKO[[#This Row],[concat]],[4]!db[NB NOTA_C],0)+1,"&gt;"))</f>
        <v/>
      </c>
    </row>
    <row r="177" spans="1:25" x14ac:dyDescent="0.25">
      <c r="A177" s="4" t="s">
        <v>117</v>
      </c>
      <c r="B177" s="6">
        <f ca="1">IF(KENKO[[#This Row],[N_ID]]="","",INDEX(Table1[ID],MATCH(KENKO[[#This Row],[N_ID]],Table1[N_ID],0)))</f>
        <v>139</v>
      </c>
      <c r="C177" s="6" t="str">
        <f ca="1">IF(KENKO[[#This Row],[ID NOTA]]="","",HYPERLINK("[NOTA_.xlsx]NOTA!e"&amp;INDEX([6]!PAJAK[//],MATCH(KENKO[[#This Row],[ID NOTA]],[6]!PAJAK[ID],0)),"&gt;") )</f>
        <v>&gt;</v>
      </c>
      <c r="D177" s="6">
        <f ca="1">IF(KENKO[[#This Row],[ID NOTA]]="","",INDEX(Table1[QB],MATCH(KENKO[[#This Row],[ID NOTA]],Table1[ID],0)))</f>
        <v>10</v>
      </c>
      <c r="E17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695</v>
      </c>
      <c r="F177" s="6" t="e">
        <f ca="1">IF(KENKO[[#This Row],[NO. NOTA]]="","",INDEX([5]KE!$A:$A,MATCH(KENKO[[#This Row],[NO. NOTA]],[5]KE!$D:$D,0)))</f>
        <v>#N/A</v>
      </c>
      <c r="G177" s="3">
        <f ca="1">IF(KENKO[[#This Row],[ID NOTA]]="","",INDEX([6]!NOTA[TGL_H],MATCH(KENKO[[#This Row],[ID NOTA]],[6]!NOTA[ID],0)))</f>
        <v>44767</v>
      </c>
      <c r="H177" s="3">
        <f ca="1">IF(KENKO[[#This Row],[ID NOTA]]="","",INDEX([6]!NOTA[TGL.NOTA],MATCH(KENKO[[#This Row],[ID NOTA]],[6]!NOTA[ID],0)))</f>
        <v>44763</v>
      </c>
      <c r="I177" s="19" t="str">
        <f ca="1">IF(KENKO[[#This Row],[ID NOTA]]="","",INDEX([6]!NOTA[NO.NOTA],MATCH(KENKO[[#This Row],[ID NOTA]],[6]!NOTA[ID],0)))</f>
        <v>22071979</v>
      </c>
      <c r="J177" s="4" t="s">
        <v>208</v>
      </c>
      <c r="K177" s="6" t="str">
        <f>""</f>
        <v/>
      </c>
      <c r="L177" s="6">
        <f ca="1">IF(KENKO[//]="","",IF(INDEX([6]!NOTA[QTY],KENKO[//]-2)="",INDEX([6]!NOTA[C],KENKO[//]-2),INDEX([6]!NOTA[QTY],KENKO[//]-2)))</f>
        <v>1</v>
      </c>
      <c r="M177" s="6" t="str">
        <f ca="1">IF(KENKO[//]="","",IF(INDEX([6]!NOTA[STN],KENKO[//]-2)="","CTN",INDEX([6]!NOTA[STN],KENKO[//]-2)))</f>
        <v>CTN</v>
      </c>
      <c r="N177" s="5">
        <f ca="1">IF(KENKO[[#This Row],[//]]="","",IF(INDEX([6]!NOTA[HARGA/ CTN],KENKO[[#This Row],[//]]-2)="",INDEX([6]!NOTA[HARGA SATUAN],KENKO[//]-2),INDEX([6]!NOTA[HARGA/ CTN],KENKO[[#This Row],[//]]-2)))</f>
        <v>2208000</v>
      </c>
      <c r="O177" s="8">
        <f ca="1">IF(KENKO[[#This Row],[//]]="","",INDEX([6]!NOTA[DISC 1],KENKO[[#This Row],[//]]-2))</f>
        <v>0.17</v>
      </c>
      <c r="P177" s="8">
        <f ca="1">IF(KENKO[[#This Row],[//]]="","",INDEX([6]!NOTA[DISC 2],KENKO[[#This Row],[//]]-2))</f>
        <v>0</v>
      </c>
      <c r="Q177" s="5">
        <f ca="1">IF(KENKO[[#This Row],[//]]="","",INDEX([6]!NOTA[JUMLAH],KENKO[[#This Row],[//]]-2)*(100%-IF(ISNUMBER(KENKO[[#This Row],[DISC 1 (%)]]),KENKO[[#This Row],[DISC 1 (%)]],0)))</f>
        <v>1832640</v>
      </c>
      <c r="R1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Row],[//]]="","",INDEX([6]!NOTA[NAMA BARANG],KENKO[[#This Row],[//]]-2))</f>
        <v>KENKO PENCIL 2B-6181 BIRU CAP HITAM</v>
      </c>
      <c r="V177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77" s="4" t="s">
        <v>137</v>
      </c>
      <c r="X177" s="4" t="str">
        <f ca="1">IF(KENKO[[#This Row],[N.B.nota]]="","",ADDRESS(ROW(KENKO[QB]),COLUMN(KENKO[QB]))&amp;":"&amp;ADDRESS(ROW(),COLUMN(KENKO[QB])))</f>
        <v>$D$3:$D$177</v>
      </c>
      <c r="Y177" s="14" t="str">
        <f ca="1">IF(KENKO[[#This Row],[//]]="","",HYPERLINK("[..\\DB.xlsx]DB!e"&amp;MATCH(KENKO[[#This Row],[concat]],[4]!db[NB NOTA_C],0)+1,"&gt;"))</f>
        <v>&gt;</v>
      </c>
    </row>
    <row r="178" spans="1:25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NOTA]]="","",HYPERLINK("[NOTA_.xlsx]NOTA!e"&amp;INDEX([6]!PAJAK[//],MATCH(KENKO[[#This Row],[ID NOTA]],[6]!PAJAK[ID],0)),"&gt;")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696</v>
      </c>
      <c r="F178" s="6" t="str">
        <f>IF(KENKO[[#This Row],[NO. NOTA]]="","",INDEX([5]KE!$A:$A,MATCH(KENKO[[#This Row],[NO. NOTA]],[5]KE!$D:$D,0)))</f>
        <v/>
      </c>
      <c r="G178" s="3" t="str">
        <f>IF(KENKO[[#This Row],[ID NOTA]]="","",INDEX([6]!NOTA[TGL_H],MATCH(KENKO[[#This Row],[ID NOTA]],[6]!NOTA[ID],0)))</f>
        <v/>
      </c>
      <c r="H178" s="3" t="str">
        <f>IF(KENKO[[#This Row],[ID NOTA]]="","",INDEX([6]!NOTA[TGL.NOTA],MATCH(KENKO[[#This Row],[ID NOTA]],[6]!NOTA[ID],0)))</f>
        <v/>
      </c>
      <c r="I178" s="19" t="str">
        <f>IF(KENKO[[#This Row],[ID NOTA]]="","",INDEX([6]!NOTA[NO.NOTA],MATCH(KENKO[[#This Row],[ID NOTA]],[6]!NOTA[ID],0)))</f>
        <v/>
      </c>
      <c r="J178" s="4" t="s">
        <v>232</v>
      </c>
      <c r="K178" s="6" t="str">
        <f>""</f>
        <v/>
      </c>
      <c r="L178" s="6">
        <f ca="1">IF(KENKO[//]="","",IF(INDEX([6]!NOTA[QTY],KENKO[//]-2)="",INDEX([6]!NOTA[C],KENKO[//]-2),INDEX([6]!NOTA[QTY],KENKO[//]-2)))</f>
        <v>2</v>
      </c>
      <c r="M178" s="6" t="str">
        <f ca="1">IF(KENKO[//]="","",IF(INDEX([6]!NOTA[STN],KENKO[//]-2)="","CTN",INDEX([6]!NOTA[STN],KENKO[//]-2)))</f>
        <v>CTN</v>
      </c>
      <c r="N178" s="5">
        <f ca="1">IF(KENKO[[#This Row],[//]]="","",IF(INDEX([6]!NOTA[HARGA/ CTN],KENKO[[#This Row],[//]]-2)="",INDEX([6]!NOTA[HARGA SATUAN],KENKO[//]-2),INDEX([6]!NOTA[HARGA/ CTN],KENKO[[#This Row],[//]]-2)))</f>
        <v>732000</v>
      </c>
      <c r="O178" s="8">
        <f ca="1">IF(KENKO[[#This Row],[//]]="","",INDEX([6]!NOTA[DISC 1],KENKO[[#This Row],[//]]-2))</f>
        <v>0.17</v>
      </c>
      <c r="P178" s="8">
        <f ca="1">IF(KENKO[[#This Row],[//]]="","",INDEX([6]!NOTA[DISC 2],KENKO[[#This Row],[//]]-2))</f>
        <v>0</v>
      </c>
      <c r="Q178" s="5">
        <f ca="1">IF(KENKO[[#This Row],[//]]="","",INDEX([6]!NOTA[JUMLAH],KENKO[[#This Row],[//]]-2)*(100%-IF(ISNUMBER(KENKO[[#This Row],[DISC 1 (%)]]),KENKO[[#This Row],[DISC 1 (%)]],0)))</f>
        <v>1215120</v>
      </c>
      <c r="R1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Row],[//]]="","",INDEX([6]!NOTA[NAMA BARANG],KENKO[[#This Row],[//]]-2))</f>
        <v>KENKO CLOTH TAPE 36 MM BLUE CORE - BLACK</v>
      </c>
      <c r="V178" s="4" t="str">
        <f ca="1">LOWER(SUBSTITUTE(SUBSTITUTE(SUBSTITUTE(SUBSTITUTE(SUBSTITUTE(SUBSTITUTE(SUBSTITUTE(SUBSTITUTE(KENKO[[#This Row],[N.B.nota]]," ",""),"-",""),"(",""),")",""),".",""),",",""),"/",""),"""",""))</f>
        <v>kenkoclothtape36mmbluecoreblack</v>
      </c>
      <c r="W178" s="4" t="s">
        <v>137</v>
      </c>
      <c r="X178" s="4" t="str">
        <f ca="1">IF(KENKO[[#This Row],[N.B.nota]]="","",ADDRESS(ROW(KENKO[QB]),COLUMN(KENKO[QB]))&amp;":"&amp;ADDRESS(ROW(),COLUMN(KENKO[QB])))</f>
        <v>$D$3:$D$178</v>
      </c>
      <c r="Y178" s="14" t="str">
        <f ca="1">IF(KENKO[[#This Row],[//]]="","",HYPERLINK("[..\\DB.xlsx]DB!e"&amp;MATCH(KENKO[[#This Row],[concat]],[4]!db[NB NOTA_C],0)+1,"&gt;"))</f>
        <v>&gt;</v>
      </c>
    </row>
    <row r="179" spans="1:25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NOTA]]="","",HYPERLINK("[NOTA_.xlsx]NOTA!e"&amp;INDEX([6]!PAJAK[//],MATCH(KENKO[[#This Row],[ID NOTA]],[6]!PAJAK[ID],0)),"&gt;")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697</v>
      </c>
      <c r="F179" s="6" t="str">
        <f>IF(KENKO[[#This Row],[NO. NOTA]]="","",INDEX([5]KE!$A:$A,MATCH(KENKO[[#This Row],[NO. NOTA]],[5]KE!$D:$D,0)))</f>
        <v/>
      </c>
      <c r="G179" s="3" t="str">
        <f>IF(KENKO[[#This Row],[ID NOTA]]="","",INDEX([6]!NOTA[TGL_H],MATCH(KENKO[[#This Row],[ID NOTA]],[6]!NOTA[ID],0)))</f>
        <v/>
      </c>
      <c r="H179" s="3" t="str">
        <f>IF(KENKO[[#This Row],[ID NOTA]]="","",INDEX([6]!NOTA[TGL.NOTA],MATCH(KENKO[[#This Row],[ID NOTA]],[6]!NOTA[ID],0)))</f>
        <v/>
      </c>
      <c r="I179" s="19" t="str">
        <f>IF(KENKO[[#This Row],[ID NOTA]]="","",INDEX([6]!NOTA[NO.NOTA],MATCH(KENKO[[#This Row],[ID NOTA]],[6]!NOTA[ID],0)))</f>
        <v/>
      </c>
      <c r="J179" s="4" t="s">
        <v>179</v>
      </c>
      <c r="K179" s="6" t="str">
        <f>""</f>
        <v/>
      </c>
      <c r="L179" s="6">
        <f ca="1">IF(KENKO[//]="","",IF(INDEX([6]!NOTA[QTY],KENKO[//]-2)="",INDEX([6]!NOTA[C],KENKO[//]-2),INDEX([6]!NOTA[QTY],KENKO[//]-2)))</f>
        <v>3</v>
      </c>
      <c r="M179" s="6" t="str">
        <f ca="1">IF(KENKO[//]="","",IF(INDEX([6]!NOTA[STN],KENKO[//]-2)="","CTN",INDEX([6]!NOTA[STN],KENKO[//]-2)))</f>
        <v>CTN</v>
      </c>
      <c r="N179" s="5">
        <f ca="1">IF(KENKO[[#This Row],[//]]="","",IF(INDEX([6]!NOTA[HARGA/ CTN],KENKO[[#This Row],[//]]-2)="",INDEX([6]!NOTA[HARGA SATUAN],KENKO[//]-2),INDEX([6]!NOTA[HARGA/ CTN],KENKO[[#This Row],[//]]-2)))</f>
        <v>2160000</v>
      </c>
      <c r="O179" s="8">
        <f ca="1">IF(KENKO[[#This Row],[//]]="","",INDEX([6]!NOTA[DISC 1],KENKO[[#This Row],[//]]-2))</f>
        <v>0.17</v>
      </c>
      <c r="P179" s="8">
        <f ca="1">IF(KENKO[[#This Row],[//]]="","",INDEX([6]!NOTA[DISC 2],KENKO[[#This Row],[//]]-2))</f>
        <v>0</v>
      </c>
      <c r="Q179" s="5">
        <f ca="1">IF(KENKO[[#This Row],[//]]="","",INDEX([6]!NOTA[JUMLAH],KENKO[[#This Row],[//]]-2)*(100%-IF(ISNUMBER(KENKO[[#This Row],[DISC 1 (%)]]),KENKO[[#This Row],[DISC 1 (%)]],0)))</f>
        <v>5378400</v>
      </c>
      <c r="R1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Row],[//]]="","",INDEX([6]!NOTA[NAMA BARANG],KENKO[[#This Row],[//]]-2))</f>
        <v>KENKO PERMANENT MARKER PM-100 BLACK</v>
      </c>
      <c r="V179" s="4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79" s="4" t="s">
        <v>137</v>
      </c>
      <c r="X179" s="4" t="str">
        <f ca="1">IF(KENKO[[#This Row],[N.B.nota]]="","",ADDRESS(ROW(KENKO[QB]),COLUMN(KENKO[QB]))&amp;":"&amp;ADDRESS(ROW(),COLUMN(KENKO[QB])))</f>
        <v>$D$3:$D$179</v>
      </c>
      <c r="Y179" s="14" t="str">
        <f ca="1">IF(KENKO[[#This Row],[//]]="","",HYPERLINK("[..\\DB.xlsx]DB!e"&amp;MATCH(KENKO[[#This Row],[concat]],[4]!db[NB NOTA_C],0)+1,"&gt;"))</f>
        <v>&gt;</v>
      </c>
    </row>
    <row r="180" spans="1:25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NOTA]]="","",HYPERLINK("[NOTA_.xlsx]NOTA!e"&amp;INDEX([6]!PAJAK[//],MATCH(KENKO[[#This Row],[ID NOTA]],[6]!PAJAK[ID],0)),"&gt;") )</f>
        <v/>
      </c>
      <c r="D180" s="6" t="str">
        <f>IF(KENKO[[#This Row],[ID NOTA]]="","",INDEX(Table1[QB],MATCH(KENKO[[#This Row],[ID NOTA]],Table1[ID],0)))</f>
        <v/>
      </c>
      <c r="E18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698</v>
      </c>
      <c r="F180" s="6" t="str">
        <f>IF(KENKO[[#This Row],[NO. NOTA]]="","",INDEX([5]KE!$A:$A,MATCH(KENKO[[#This Row],[NO. NOTA]],[5]KE!$D:$D,0)))</f>
        <v/>
      </c>
      <c r="G180" s="3" t="str">
        <f>IF(KENKO[[#This Row],[ID NOTA]]="","",INDEX([6]!NOTA[TGL_H],MATCH(KENKO[[#This Row],[ID NOTA]],[6]!NOTA[ID],0)))</f>
        <v/>
      </c>
      <c r="H180" s="3" t="str">
        <f>IF(KENKO[[#This Row],[ID NOTA]]="","",INDEX([6]!NOTA[TGL.NOTA],MATCH(KENKO[[#This Row],[ID NOTA]],[6]!NOTA[ID],0)))</f>
        <v/>
      </c>
      <c r="I180" s="19" t="str">
        <f>IF(KENKO[[#This Row],[ID NOTA]]="","",INDEX([6]!NOTA[NO.NOTA],MATCH(KENKO[[#This Row],[ID NOTA]],[6]!NOTA[ID],0)))</f>
        <v/>
      </c>
      <c r="J180" s="4" t="s">
        <v>234</v>
      </c>
      <c r="K180" s="6" t="str">
        <f>""</f>
        <v/>
      </c>
      <c r="L180" s="6">
        <f ca="1">IF(KENKO[//]="","",IF(INDEX([6]!NOTA[QTY],KENKO[//]-2)="",INDEX([6]!NOTA[C],KENKO[//]-2),INDEX([6]!NOTA[QTY],KENKO[//]-2)))</f>
        <v>10</v>
      </c>
      <c r="M180" s="6" t="str">
        <f ca="1">IF(KENKO[//]="","",IF(INDEX([6]!NOTA[STN],KENKO[//]-2)="","CTN",INDEX([6]!NOTA[STN],KENKO[//]-2)))</f>
        <v>CTN</v>
      </c>
      <c r="N180" s="5">
        <f ca="1">IF(KENKO[[#This Row],[//]]="","",IF(INDEX([6]!NOTA[HARGA/ CTN],KENKO[[#This Row],[//]]-2)="",INDEX([6]!NOTA[HARGA SATUAN],KENKO[//]-2),INDEX([6]!NOTA[HARGA/ CTN],KENKO[[#This Row],[//]]-2)))</f>
        <v>3888000</v>
      </c>
      <c r="O180" s="8">
        <f ca="1">IF(KENKO[[#This Row],[//]]="","",INDEX([6]!NOTA[DISC 1],KENKO[[#This Row],[//]]-2))</f>
        <v>0.17</v>
      </c>
      <c r="P180" s="8">
        <f ca="1">IF(KENKO[[#This Row],[//]]="","",INDEX([6]!NOTA[DISC 2],KENKO[[#This Row],[//]]-2))</f>
        <v>0</v>
      </c>
      <c r="Q180" s="5">
        <f ca="1">IF(KENKO[[#This Row],[//]]="","",INDEX([6]!NOTA[JUMLAH],KENKO[[#This Row],[//]]-2)*(100%-IF(ISNUMBER(KENKO[[#This Row],[DISC 1 (%)]]),KENKO[[#This Row],[DISC 1 (%)]],0)))</f>
        <v>32270400</v>
      </c>
      <c r="R18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4" t="str">
        <f ca="1">IF(KENKO[[#This Row],[//]]="","",INDEX([6]!NOTA[NAMA BARANG],KENKO[[#This Row],[//]]-2))</f>
        <v>KENKO CUTTER BLADE L-150 (18MM)</v>
      </c>
      <c r="V180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0" s="4" t="s">
        <v>137</v>
      </c>
      <c r="X180" s="4" t="str">
        <f ca="1">IF(KENKO[[#This Row],[N.B.nota]]="","",ADDRESS(ROW(KENKO[QB]),COLUMN(KENKO[QB]))&amp;":"&amp;ADDRESS(ROW(),COLUMN(KENKO[QB])))</f>
        <v>$D$3:$D$180</v>
      </c>
      <c r="Y180" s="14" t="str">
        <f ca="1">IF(KENKO[[#This Row],[//]]="","",HYPERLINK("[..\\DB.xlsx]DB!e"&amp;MATCH(KENKO[[#This Row],[concat]],[4]!db[NB NOTA_C],0)+1,"&gt;"))</f>
        <v>&gt;</v>
      </c>
    </row>
    <row r="181" spans="1:25" x14ac:dyDescent="0.25">
      <c r="A181" s="4"/>
      <c r="B181" s="6" t="str">
        <f>IF(KENKO[[#This Row],[N_ID]]="","",INDEX(Table1[ID],MATCH(KENKO[[#This Row],[N_ID]],Table1[N_ID],0)))</f>
        <v/>
      </c>
      <c r="C181" s="6" t="str">
        <f>IF(KENKO[[#This Row],[ID NOTA]]="","",HYPERLINK("[NOTA_.xlsx]NOTA!e"&amp;INDEX([6]!PAJAK[//],MATCH(KENKO[[#This Row],[ID NOTA]],[6]!PAJAK[ID],0)),"&gt;") )</f>
        <v/>
      </c>
      <c r="D181" s="6" t="str">
        <f>IF(KENKO[[#This Row],[ID NOTA]]="","",INDEX(Table1[QB],MATCH(KENKO[[#This Row],[ID NOTA]],Table1[ID],0)))</f>
        <v/>
      </c>
      <c r="E18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699</v>
      </c>
      <c r="F181" s="6" t="str">
        <f>IF(KENKO[[#This Row],[NO. NOTA]]="","",INDEX([5]KE!$A:$A,MATCH(KENKO[[#This Row],[NO. NOTA]],[5]KE!$D:$D,0)))</f>
        <v/>
      </c>
      <c r="G181" s="3" t="str">
        <f>IF(KENKO[[#This Row],[ID NOTA]]="","",INDEX([6]!NOTA[TGL_H],MATCH(KENKO[[#This Row],[ID NOTA]],[6]!NOTA[ID],0)))</f>
        <v/>
      </c>
      <c r="H181" s="3" t="str">
        <f>IF(KENKO[[#This Row],[ID NOTA]]="","",INDEX([6]!NOTA[TGL.NOTA],MATCH(KENKO[[#This Row],[ID NOTA]],[6]!NOTA[ID],0)))</f>
        <v/>
      </c>
      <c r="I181" s="19" t="str">
        <f>IF(KENKO[[#This Row],[ID NOTA]]="","",INDEX([6]!NOTA[NO.NOTA],MATCH(KENKO[[#This Row],[ID NOTA]],[6]!NOTA[ID],0)))</f>
        <v/>
      </c>
      <c r="J181" s="4" t="s">
        <v>219</v>
      </c>
      <c r="K181" s="6" t="str">
        <f>""</f>
        <v/>
      </c>
      <c r="L181" s="6">
        <f ca="1">IF(KENKO[//]="","",IF(INDEX([6]!NOTA[QTY],KENKO[//]-2)="",INDEX([6]!NOTA[C],KENKO[//]-2),INDEX([6]!NOTA[QTY],KENKO[//]-2)))</f>
        <v>4</v>
      </c>
      <c r="M181" s="6" t="str">
        <f ca="1">IF(KENKO[//]="","",IF(INDEX([6]!NOTA[STN],KENKO[//]-2)="","CTN",INDEX([6]!NOTA[STN],KENKO[//]-2)))</f>
        <v>CTN</v>
      </c>
      <c r="N181" s="5">
        <f ca="1">IF(KENKO[[#This Row],[//]]="","",IF(INDEX([6]!NOTA[HARGA/ CTN],KENKO[[#This Row],[//]]-2)="",INDEX([6]!NOTA[HARGA SATUAN],KENKO[//]-2),INDEX([6]!NOTA[HARGA/ CTN],KENKO[[#This Row],[//]]-2)))</f>
        <v>1710000</v>
      </c>
      <c r="O181" s="8">
        <f ca="1">IF(KENKO[[#This Row],[//]]="","",INDEX([6]!NOTA[DISC 1],KENKO[[#This Row],[//]]-2))</f>
        <v>0.17</v>
      </c>
      <c r="P181" s="8">
        <f ca="1">IF(KENKO[[#This Row],[//]]="","",INDEX([6]!NOTA[DISC 2],KENKO[[#This Row],[//]]-2))</f>
        <v>0</v>
      </c>
      <c r="Q181" s="5">
        <f ca="1">IF(KENKO[[#This Row],[//]]="","",INDEX([6]!NOTA[JUMLAH],KENKO[[#This Row],[//]]-2)*(100%-IF(ISNUMBER(KENKO[[#This Row],[DISC 1 (%)]]),KENKO[[#This Row],[DISC 1 (%)]],0)))</f>
        <v>5677200</v>
      </c>
      <c r="R1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4" t="str">
        <f ca="1">IF(KENKO[[#This Row],[//]]="","",INDEX([6]!NOTA[NAMA BARANG],KENKO[[#This Row],[//]]-2))</f>
        <v>KENKO CUTTER A-300 (9MM BLADE)</v>
      </c>
      <c r="V181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81" s="4" t="s">
        <v>137</v>
      </c>
      <c r="X181" s="4" t="str">
        <f ca="1">IF(KENKO[[#This Row],[N.B.nota]]="","",ADDRESS(ROW(KENKO[QB]),COLUMN(KENKO[QB]))&amp;":"&amp;ADDRESS(ROW(),COLUMN(KENKO[QB])))</f>
        <v>$D$3:$D$181</v>
      </c>
      <c r="Y181" s="14" t="str">
        <f ca="1">IF(KENKO[[#This Row],[//]]="","",HYPERLINK("[..\\DB.xlsx]DB!e"&amp;MATCH(KENKO[[#This Row],[concat]],[4]!db[NB NOTA_C],0)+1,"&gt;"))</f>
        <v>&gt;</v>
      </c>
    </row>
    <row r="182" spans="1:25" x14ac:dyDescent="0.25">
      <c r="A182" s="4"/>
      <c r="B182" s="6" t="str">
        <f>IF(KENKO[[#This Row],[N_ID]]="","",INDEX(Table1[ID],MATCH(KENKO[[#This Row],[N_ID]],Table1[N_ID],0)))</f>
        <v/>
      </c>
      <c r="C182" s="6" t="str">
        <f>IF(KENKO[[#This Row],[ID NOTA]]="","",HYPERLINK("[NOTA_.xlsx]NOTA!e"&amp;INDEX([6]!PAJAK[//],MATCH(KENKO[[#This Row],[ID NOTA]],[6]!PAJAK[ID],0)),"&gt;") )</f>
        <v/>
      </c>
      <c r="D182" s="6" t="str">
        <f>IF(KENKO[[#This Row],[ID NOTA]]="","",INDEX(Table1[QB],MATCH(KENKO[[#This Row],[ID NOTA]],Table1[ID],0)))</f>
        <v/>
      </c>
      <c r="E18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700</v>
      </c>
      <c r="F182" s="6" t="str">
        <f>IF(KENKO[[#This Row],[NO. NOTA]]="","",INDEX([5]KE!$A:$A,MATCH(KENKO[[#This Row],[NO. NOTA]],[5]KE!$D:$D,0)))</f>
        <v/>
      </c>
      <c r="G182" s="3" t="str">
        <f>IF(KENKO[[#This Row],[ID NOTA]]="","",INDEX([6]!NOTA[TGL_H],MATCH(KENKO[[#This Row],[ID NOTA]],[6]!NOTA[ID],0)))</f>
        <v/>
      </c>
      <c r="H182" s="3" t="str">
        <f>IF(KENKO[[#This Row],[ID NOTA]]="","",INDEX([6]!NOTA[TGL.NOTA],MATCH(KENKO[[#This Row],[ID NOTA]],[6]!NOTA[ID],0)))</f>
        <v/>
      </c>
      <c r="I182" s="19" t="str">
        <f>IF(KENKO[[#This Row],[ID NOTA]]="","",INDEX([6]!NOTA[NO.NOTA],MATCH(KENKO[[#This Row],[ID NOTA]],[6]!NOTA[ID],0)))</f>
        <v/>
      </c>
      <c r="J182" s="4" t="s">
        <v>242</v>
      </c>
      <c r="K182" s="6" t="str">
        <f>""</f>
        <v/>
      </c>
      <c r="L182" s="6">
        <f ca="1">IF(KENKO[//]="","",IF(INDEX([6]!NOTA[QTY],KENKO[//]-2)="",INDEX([6]!NOTA[C],KENKO[//]-2),INDEX([6]!NOTA[QTY],KENKO[//]-2)))</f>
        <v>2</v>
      </c>
      <c r="M182" s="6" t="str">
        <f ca="1">IF(KENKO[//]="","",IF(INDEX([6]!NOTA[STN],KENKO[//]-2)="","CTN",INDEX([6]!NOTA[STN],KENKO[//]-2)))</f>
        <v>CTN</v>
      </c>
      <c r="N182" s="5">
        <f ca="1">IF(KENKO[[#This Row],[//]]="","",IF(INDEX([6]!NOTA[HARGA/ CTN],KENKO[[#This Row],[//]]-2)="",INDEX([6]!NOTA[HARGA SATUAN],KENKO[//]-2),INDEX([6]!NOTA[HARGA/ CTN],KENKO[[#This Row],[//]]-2)))</f>
        <v>1987200</v>
      </c>
      <c r="O182" s="8">
        <f ca="1">IF(KENKO[[#This Row],[//]]="","",INDEX([6]!NOTA[DISC 1],KENKO[[#This Row],[//]]-2))</f>
        <v>0.17</v>
      </c>
      <c r="P182" s="8">
        <f ca="1">IF(KENKO[[#This Row],[//]]="","",INDEX([6]!NOTA[DISC 2],KENKO[[#This Row],[//]]-2))</f>
        <v>0</v>
      </c>
      <c r="Q182" s="5">
        <f ca="1">IF(KENKO[[#This Row],[//]]="","",INDEX([6]!NOTA[JUMLAH],KENKO[[#This Row],[//]]-2)*(100%-IF(ISNUMBER(KENKO[[#This Row],[DISC 1 (%)]]),KENKO[[#This Row],[DISC 1 (%)]],0)))</f>
        <v>3298752</v>
      </c>
      <c r="R18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4" t="str">
        <f ca="1">IF(KENKO[[#This Row],[//]]="","",INDEX([6]!NOTA[NAMA BARANG],KENKO[[#This Row],[//]]-2))</f>
        <v>KENKO COLOR CLIP 3100</v>
      </c>
      <c r="V18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82" s="4" t="s">
        <v>137</v>
      </c>
      <c r="X182" s="4" t="str">
        <f ca="1">IF(KENKO[[#This Row],[N.B.nota]]="","",ADDRESS(ROW(KENKO[QB]),COLUMN(KENKO[QB]))&amp;":"&amp;ADDRESS(ROW(),COLUMN(KENKO[QB])))</f>
        <v>$D$3:$D$182</v>
      </c>
      <c r="Y182" s="14" t="str">
        <f ca="1">IF(KENKO[[#This Row],[//]]="","",HYPERLINK("[..\\DB.xlsx]DB!e"&amp;MATCH(KENKO[[#This Row],[concat]],[4]!db[NB NOTA_C],0)+1,"&gt;"))</f>
        <v>&gt;</v>
      </c>
    </row>
    <row r="183" spans="1:25" x14ac:dyDescent="0.25">
      <c r="A183" s="4"/>
      <c r="B183" s="6" t="str">
        <f>IF(KENKO[[#This Row],[N_ID]]="","",INDEX(Table1[ID],MATCH(KENKO[[#This Row],[N_ID]],Table1[N_ID],0)))</f>
        <v/>
      </c>
      <c r="C183" s="6" t="str">
        <f>IF(KENKO[[#This Row],[ID NOTA]]="","",HYPERLINK("[NOTA_.xlsx]NOTA!e"&amp;INDEX([6]!PAJAK[//],MATCH(KENKO[[#This Row],[ID NOTA]],[6]!PAJAK[ID],0)),"&gt;") )</f>
        <v/>
      </c>
      <c r="D183" s="6" t="str">
        <f>IF(KENKO[[#This Row],[ID NOTA]]="","",INDEX(Table1[QB],MATCH(KENKO[[#This Row],[ID NOTA]],Table1[ID],0)))</f>
        <v/>
      </c>
      <c r="E18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701</v>
      </c>
      <c r="F183" s="6" t="str">
        <f>IF(KENKO[[#This Row],[NO. NOTA]]="","",INDEX([5]KE!$A:$A,MATCH(KENKO[[#This Row],[NO. NOTA]],[5]KE!$D:$D,0)))</f>
        <v/>
      </c>
      <c r="G183" s="3" t="str">
        <f>IF(KENKO[[#This Row],[ID NOTA]]="","",INDEX([6]!NOTA[TGL_H],MATCH(KENKO[[#This Row],[ID NOTA]],[6]!NOTA[ID],0)))</f>
        <v/>
      </c>
      <c r="H183" s="3" t="str">
        <f>IF(KENKO[[#This Row],[ID NOTA]]="","",INDEX([6]!NOTA[TGL.NOTA],MATCH(KENKO[[#This Row],[ID NOTA]],[6]!NOTA[ID],0)))</f>
        <v/>
      </c>
      <c r="I183" s="19" t="str">
        <f>IF(KENKO[[#This Row],[ID NOTA]]="","",INDEX([6]!NOTA[NO.NOTA],MATCH(KENKO[[#This Row],[ID NOTA]],[6]!NOTA[ID],0)))</f>
        <v/>
      </c>
      <c r="J183" s="4" t="s">
        <v>243</v>
      </c>
      <c r="K183" s="6" t="str">
        <f>""</f>
        <v/>
      </c>
      <c r="L183" s="6">
        <f ca="1">IF(KENKO[//]="","",IF(INDEX([6]!NOTA[QTY],KENKO[//]-2)="",INDEX([6]!NOTA[C],KENKO[//]-2),INDEX([6]!NOTA[QTY],KENKO[//]-2)))</f>
        <v>4</v>
      </c>
      <c r="M183" s="6" t="str">
        <f ca="1">IF(KENKO[//]="","",IF(INDEX([6]!NOTA[STN],KENKO[//]-2)="","CTN",INDEX([6]!NOTA[STN],KENKO[//]-2)))</f>
        <v>CTN</v>
      </c>
      <c r="N183" s="5">
        <f ca="1">IF(KENKO[[#This Row],[//]]="","",IF(INDEX([6]!NOTA[HARGA/ CTN],KENKO[[#This Row],[//]]-2)="",INDEX([6]!NOTA[HARGA SATUAN],KENKO[//]-2),INDEX([6]!NOTA[HARGA/ CTN],KENKO[[#This Row],[//]]-2)))</f>
        <v>1122000</v>
      </c>
      <c r="O183" s="8">
        <f ca="1">IF(KENKO[[#This Row],[//]]="","",INDEX([6]!NOTA[DISC 1],KENKO[[#This Row],[//]]-2))</f>
        <v>0.17</v>
      </c>
      <c r="P183" s="8">
        <f ca="1">IF(KENKO[[#This Row],[//]]="","",INDEX([6]!NOTA[DISC 2],KENKO[[#This Row],[//]]-2))</f>
        <v>0</v>
      </c>
      <c r="Q183" s="5">
        <f ca="1">IF(KENKO[[#This Row],[//]]="","",INDEX([6]!NOTA[JUMLAH],KENKO[[#This Row],[//]]-2)*(100%-IF(ISNUMBER(KENKO[[#This Row],[DISC 1 (%)]]),KENKO[[#This Row],[DISC 1 (%)]],0)))</f>
        <v>3725040</v>
      </c>
      <c r="R1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4" t="str">
        <f ca="1">IF(KENKO[[#This Row],[//]]="","",INDEX([6]!NOTA[NAMA BARANG],KENKO[[#This Row],[//]]-2))</f>
        <v>KENKO SCISSOR SC-848N</v>
      </c>
      <c r="V183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83" s="4" t="s">
        <v>137</v>
      </c>
      <c r="X183" s="4" t="str">
        <f ca="1">IF(KENKO[[#This Row],[N.B.nota]]="","",ADDRESS(ROW(KENKO[QB]),COLUMN(KENKO[QB]))&amp;":"&amp;ADDRESS(ROW(),COLUMN(KENKO[QB])))</f>
        <v>$D$3:$D$183</v>
      </c>
      <c r="Y183" s="14" t="str">
        <f ca="1">IF(KENKO[[#This Row],[//]]="","",HYPERLINK("[..\\DB.xlsx]DB!e"&amp;MATCH(KENKO[[#This Row],[concat]],[4]!db[NB NOTA_C],0)+1,"&gt;"))</f>
        <v>&gt;</v>
      </c>
    </row>
    <row r="184" spans="1:25" x14ac:dyDescent="0.25">
      <c r="A184" s="4"/>
      <c r="B184" s="6" t="str">
        <f>IF(KENKO[[#This Row],[N_ID]]="","",INDEX(Table1[ID],MATCH(KENKO[[#This Row],[N_ID]],Table1[N_ID],0)))</f>
        <v/>
      </c>
      <c r="C184" s="6" t="str">
        <f>IF(KENKO[[#This Row],[ID NOTA]]="","",HYPERLINK("[NOTA_.xlsx]NOTA!e"&amp;INDEX([6]!PAJAK[//],MATCH(KENKO[[#This Row],[ID NOTA]],[6]!PAJAK[ID],0)),"&gt;") )</f>
        <v/>
      </c>
      <c r="D184" s="6" t="str">
        <f>IF(KENKO[[#This Row],[ID NOTA]]="","",INDEX(Table1[QB],MATCH(KENKO[[#This Row],[ID NOTA]],Table1[ID],0)))</f>
        <v/>
      </c>
      <c r="E18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702</v>
      </c>
      <c r="F184" s="6" t="str">
        <f>IF(KENKO[[#This Row],[NO. NOTA]]="","",INDEX([5]KE!$A:$A,MATCH(KENKO[[#This Row],[NO. NOTA]],[5]KE!$D:$D,0)))</f>
        <v/>
      </c>
      <c r="G184" s="3" t="str">
        <f>IF(KENKO[[#This Row],[ID NOTA]]="","",INDEX([6]!NOTA[TGL_H],MATCH(KENKO[[#This Row],[ID NOTA]],[6]!NOTA[ID],0)))</f>
        <v/>
      </c>
      <c r="H184" s="3" t="str">
        <f>IF(KENKO[[#This Row],[ID NOTA]]="","",INDEX([6]!NOTA[TGL.NOTA],MATCH(KENKO[[#This Row],[ID NOTA]],[6]!NOTA[ID],0)))</f>
        <v/>
      </c>
      <c r="I184" s="19" t="str">
        <f>IF(KENKO[[#This Row],[ID NOTA]]="","",INDEX([6]!NOTA[NO.NOTA],MATCH(KENKO[[#This Row],[ID NOTA]],[6]!NOTA[ID],0)))</f>
        <v/>
      </c>
      <c r="J184" s="4" t="s">
        <v>189</v>
      </c>
      <c r="K184" s="6" t="str">
        <f>""</f>
        <v/>
      </c>
      <c r="L184" s="6">
        <f ca="1">IF(KENKO[//]="","",IF(INDEX([6]!NOTA[QTY],KENKO[//]-2)="",INDEX([6]!NOTA[C],KENKO[//]-2),INDEX([6]!NOTA[QTY],KENKO[//]-2)))</f>
        <v>1</v>
      </c>
      <c r="M184" s="6" t="str">
        <f ca="1">IF(KENKO[//]="","",IF(INDEX([6]!NOTA[STN],KENKO[//]-2)="","CTN",INDEX([6]!NOTA[STN],KENKO[//]-2)))</f>
        <v>CTN</v>
      </c>
      <c r="N184" s="5">
        <f ca="1">IF(KENKO[[#This Row],[//]]="","",IF(INDEX([6]!NOTA[HARGA/ CTN],KENKO[[#This Row],[//]]-2)="",INDEX([6]!NOTA[HARGA SATUAN],KENKO[//]-2),INDEX([6]!NOTA[HARGA/ CTN],KENKO[[#This Row],[//]]-2)))</f>
        <v>1500000</v>
      </c>
      <c r="O184" s="8">
        <f ca="1">IF(KENKO[[#This Row],[//]]="","",INDEX([6]!NOTA[DISC 1],KENKO[[#This Row],[//]]-2))</f>
        <v>0.17</v>
      </c>
      <c r="P184" s="8">
        <f ca="1">IF(KENKO[[#This Row],[//]]="","",INDEX([6]!NOTA[DISC 2],KENKO[[#This Row],[//]]-2))</f>
        <v>0</v>
      </c>
      <c r="Q184" s="5">
        <f ca="1">IF(KENKO[[#This Row],[//]]="","",INDEX([6]!NOTA[JUMLAH],KENKO[[#This Row],[//]]-2)*(100%-IF(ISNUMBER(KENKO[[#This Row],[DISC 1 (%)]]),KENKO[[#This Row],[DISC 1 (%)]],0)))</f>
        <v>1245000</v>
      </c>
      <c r="R1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4" t="str">
        <f ca="1">IF(KENKO[[#This Row],[//]]="","",INDEX([6]!NOTA[NAMA BARANG],KENKO[[#This Row],[//]]-2))</f>
        <v>KENKO ERASER ERB-20SQ BLACK</v>
      </c>
      <c r="V184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84" s="4" t="s">
        <v>137</v>
      </c>
      <c r="X184" s="4" t="str">
        <f ca="1">IF(KENKO[[#This Row],[N.B.nota]]="","",ADDRESS(ROW(KENKO[QB]),COLUMN(KENKO[QB]))&amp;":"&amp;ADDRESS(ROW(),COLUMN(KENKO[QB])))</f>
        <v>$D$3:$D$184</v>
      </c>
      <c r="Y184" s="14" t="str">
        <f ca="1">IF(KENKO[[#This Row],[//]]="","",HYPERLINK("[..\\DB.xlsx]DB!e"&amp;MATCH(KENKO[[#This Row],[concat]],[4]!db[NB NOTA_C],0)+1,"&gt;"))</f>
        <v>&gt;</v>
      </c>
    </row>
    <row r="185" spans="1:25" x14ac:dyDescent="0.25">
      <c r="A185" s="4"/>
      <c r="B185" s="6" t="str">
        <f>IF(KENKO[[#This Row],[N_ID]]="","",INDEX(Table1[ID],MATCH(KENKO[[#This Row],[N_ID]],Table1[N_ID],0)))</f>
        <v/>
      </c>
      <c r="C185" s="6" t="str">
        <f>IF(KENKO[[#This Row],[ID NOTA]]="","",HYPERLINK("[NOTA_.xlsx]NOTA!e"&amp;INDEX([6]!PAJAK[//],MATCH(KENKO[[#This Row],[ID NOTA]],[6]!PAJAK[ID],0)),"&gt;") )</f>
        <v/>
      </c>
      <c r="D185" s="6" t="str">
        <f>IF(KENKO[[#This Row],[ID NOTA]]="","",INDEX(Table1[QB],MATCH(KENKO[[#This Row],[ID NOTA]],Table1[ID],0)))</f>
        <v/>
      </c>
      <c r="E18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703</v>
      </c>
      <c r="F185" s="6" t="str">
        <f>IF(KENKO[[#This Row],[NO. NOTA]]="","",INDEX([5]KE!$A:$A,MATCH(KENKO[[#This Row],[NO. NOTA]],[5]KE!$D:$D,0)))</f>
        <v/>
      </c>
      <c r="G185" s="3" t="str">
        <f>IF(KENKO[[#This Row],[ID NOTA]]="","",INDEX([6]!NOTA[TGL_H],MATCH(KENKO[[#This Row],[ID NOTA]],[6]!NOTA[ID],0)))</f>
        <v/>
      </c>
      <c r="H185" s="3" t="str">
        <f>IF(KENKO[[#This Row],[ID NOTA]]="","",INDEX([6]!NOTA[TGL.NOTA],MATCH(KENKO[[#This Row],[ID NOTA]],[6]!NOTA[ID],0)))</f>
        <v/>
      </c>
      <c r="I185" s="19" t="str">
        <f>IF(KENKO[[#This Row],[ID NOTA]]="","",INDEX([6]!NOTA[NO.NOTA],MATCH(KENKO[[#This Row],[ID NOTA]],[6]!NOTA[ID],0)))</f>
        <v/>
      </c>
      <c r="J185" s="4" t="s">
        <v>225</v>
      </c>
      <c r="K185" s="6" t="str">
        <f>""</f>
        <v/>
      </c>
      <c r="L185" s="6">
        <f ca="1">IF(KENKO[//]="","",IF(INDEX([6]!NOTA[QTY],KENKO[//]-2)="",INDEX([6]!NOTA[C],KENKO[//]-2),INDEX([6]!NOTA[QTY],KENKO[//]-2)))</f>
        <v>1</v>
      </c>
      <c r="M185" s="6" t="str">
        <f ca="1">IF(KENKO[//]="","",IF(INDEX([6]!NOTA[STN],KENKO[//]-2)="","CTN",INDEX([6]!NOTA[STN],KENKO[//]-2)))</f>
        <v>CTN</v>
      </c>
      <c r="N185" s="5">
        <f ca="1">IF(KENKO[[#This Row],[//]]="","",IF(INDEX([6]!NOTA[HARGA/ CTN],KENKO[[#This Row],[//]]-2)="",INDEX([6]!NOTA[HARGA SATUAN],KENKO[//]-2),INDEX([6]!NOTA[HARGA/ CTN],KENKO[[#This Row],[//]]-2)))</f>
        <v>1998000</v>
      </c>
      <c r="O185" s="8">
        <f ca="1">IF(KENKO[[#This Row],[//]]="","",INDEX([6]!NOTA[DISC 1],KENKO[[#This Row],[//]]-2))</f>
        <v>0.17</v>
      </c>
      <c r="P185" s="8">
        <f ca="1">IF(KENKO[[#This Row],[//]]="","",INDEX([6]!NOTA[DISC 2],KENKO[[#This Row],[//]]-2))</f>
        <v>0</v>
      </c>
      <c r="Q185" s="5">
        <f ca="1">IF(KENKO[[#This Row],[//]]="","",INDEX([6]!NOTA[JUMLAH],KENKO[[#This Row],[//]]-2)*(100%-IF(ISNUMBER(KENKO[[#This Row],[DISC 1 (%)]]),KENKO[[#This Row],[DISC 1 (%)]],0)))</f>
        <v>1658340</v>
      </c>
      <c r="R1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4" t="str">
        <f ca="1">IF(KENKO[[#This Row],[//]]="","",INDEX([6]!NOTA[NAMA BARANG],KENKO[[#This Row],[//]]-2))</f>
        <v>KENKO CORRECTION FLUID KE-823 M</v>
      </c>
      <c r="V185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85" s="4" t="s">
        <v>137</v>
      </c>
      <c r="X185" s="4" t="str">
        <f ca="1">IF(KENKO[[#This Row],[N.B.nota]]="","",ADDRESS(ROW(KENKO[QB]),COLUMN(KENKO[QB]))&amp;":"&amp;ADDRESS(ROW(),COLUMN(KENKO[QB])))</f>
        <v>$D$3:$D$185</v>
      </c>
      <c r="Y185" s="14" t="str">
        <f ca="1">IF(KENKO[[#This Row],[//]]="","",HYPERLINK("[..\\DB.xlsx]DB!e"&amp;MATCH(KENKO[[#This Row],[concat]],[4]!db[NB NOTA_C],0)+1,"&gt;"))</f>
        <v>&gt;</v>
      </c>
    </row>
    <row r="186" spans="1:25" x14ac:dyDescent="0.25">
      <c r="A186" s="4"/>
      <c r="B186" s="6" t="str">
        <f>IF(KENKO[[#This Row],[N_ID]]="","",INDEX(Table1[ID],MATCH(KENKO[[#This Row],[N_ID]],Table1[N_ID],0)))</f>
        <v/>
      </c>
      <c r="C186" s="6" t="str">
        <f>IF(KENKO[[#This Row],[ID NOTA]]="","",HYPERLINK("[NOTA_.xlsx]NOTA!e"&amp;INDEX([6]!PAJAK[//],MATCH(KENKO[[#This Row],[ID NOTA]],[6]!PAJAK[ID],0)),"&gt;") )</f>
        <v/>
      </c>
      <c r="D186" s="6" t="str">
        <f>IF(KENKO[[#This Row],[ID NOTA]]="","",INDEX(Table1[QB],MATCH(KENKO[[#This Row],[ID NOTA]],Table1[ID],0)))</f>
        <v/>
      </c>
      <c r="E18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704</v>
      </c>
      <c r="F186" s="6" t="str">
        <f>IF(KENKO[[#This Row],[NO. NOTA]]="","",INDEX([5]KE!$A:$A,MATCH(KENKO[[#This Row],[NO. NOTA]],[5]KE!$D:$D,0)))</f>
        <v/>
      </c>
      <c r="G186" s="3" t="str">
        <f>IF(KENKO[[#This Row],[ID NOTA]]="","",INDEX([6]!NOTA[TGL_H],MATCH(KENKO[[#This Row],[ID NOTA]],[6]!NOTA[ID],0)))</f>
        <v/>
      </c>
      <c r="H186" s="3" t="str">
        <f>IF(KENKO[[#This Row],[ID NOTA]]="","",INDEX([6]!NOTA[TGL.NOTA],MATCH(KENKO[[#This Row],[ID NOTA]],[6]!NOTA[ID],0)))</f>
        <v/>
      </c>
      <c r="I186" s="19" t="str">
        <f>IF(KENKO[[#This Row],[ID NOTA]]="","",INDEX([6]!NOTA[NO.NOTA],MATCH(KENKO[[#This Row],[ID NOTA]],[6]!NOTA[ID],0)))</f>
        <v/>
      </c>
      <c r="J186" s="4" t="s">
        <v>224</v>
      </c>
      <c r="K186" s="6" t="str">
        <f>""</f>
        <v/>
      </c>
      <c r="L186" s="6">
        <f ca="1">IF(KENKO[//]="","",IF(INDEX([6]!NOTA[QTY],KENKO[//]-2)="",INDEX([6]!NOTA[C],KENKO[//]-2),INDEX([6]!NOTA[QTY],KENKO[//]-2)))</f>
        <v>5</v>
      </c>
      <c r="M186" s="6" t="str">
        <f ca="1">IF(KENKO[//]="","",IF(INDEX([6]!NOTA[STN],KENKO[//]-2)="","CTN",INDEX([6]!NOTA[STN],KENKO[//]-2)))</f>
        <v>CTN</v>
      </c>
      <c r="N186" s="5">
        <f ca="1">IF(KENKO[[#This Row],[//]]="","",IF(INDEX([6]!NOTA[HARGA/ CTN],KENKO[[#This Row],[//]]-2)="",INDEX([6]!NOTA[HARGA SATUAN],KENKO[//]-2),INDEX([6]!NOTA[HARGA/ CTN],KENKO[[#This Row],[//]]-2)))</f>
        <v>1150000</v>
      </c>
      <c r="O186" s="8">
        <f ca="1">IF(KENKO[[#This Row],[//]]="","",INDEX([6]!NOTA[DISC 1],KENKO[[#This Row],[//]]-2))</f>
        <v>0.17</v>
      </c>
      <c r="P186" s="8">
        <f ca="1">IF(KENKO[[#This Row],[//]]="","",INDEX([6]!NOTA[DISC 2],KENKO[[#This Row],[//]]-2))</f>
        <v>0</v>
      </c>
      <c r="Q186" s="5">
        <f ca="1">IF(KENKO[[#This Row],[//]]="","",INDEX([6]!NOTA[JUMLAH],KENKO[[#This Row],[//]]-2)*(100%-IF(ISNUMBER(KENKO[[#This Row],[DISC 1 (%)]]),KENKO[[#This Row],[DISC 1 (%)]],0)))</f>
        <v>4772500</v>
      </c>
      <c r="R18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12509008</v>
      </c>
      <c r="S18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61073392</v>
      </c>
      <c r="T18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4" t="str">
        <f ca="1">IF(KENKO[[#This Row],[//]]="","",INDEX([6]!NOTA[NAMA BARANG],KENKO[[#This Row],[//]]-2))</f>
        <v>KENKO LAMINATING FILM LF100-2234 (FC) @ 100 PCS</v>
      </c>
      <c r="V186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86" s="4" t="s">
        <v>137</v>
      </c>
      <c r="X186" s="4" t="str">
        <f ca="1">IF(KENKO[[#This Row],[N.B.nota]]="","",ADDRESS(ROW(KENKO[QB]),COLUMN(KENKO[QB]))&amp;":"&amp;ADDRESS(ROW(),COLUMN(KENKO[QB])))</f>
        <v>$D$3:$D$186</v>
      </c>
      <c r="Y186" s="14" t="str">
        <f ca="1">IF(KENKO[[#This Row],[//]]="","",HYPERLINK("[..\\DB.xlsx]DB!e"&amp;MATCH(KENKO[[#This Row],[concat]],[4]!db[NB NOTA_C],0)+1,"&gt;"))</f>
        <v>&gt;</v>
      </c>
    </row>
    <row r="187" spans="1:25" x14ac:dyDescent="0.25">
      <c r="A187" s="4"/>
      <c r="B187" s="6" t="str">
        <f>IF(KENKO[[#This Row],[N_ID]]="","",INDEX(Table1[ID],MATCH(KENKO[[#This Row],[N_ID]],Table1[N_ID],0)))</f>
        <v/>
      </c>
      <c r="C187" s="6" t="str">
        <f>IF(KENKO[[#This Row],[ID NOTA]]="","",HYPERLINK("[NOTA_.xlsx]NOTA!e"&amp;INDEX([6]!PAJAK[//],MATCH(KENKO[[#This Row],[ID NOTA]],[6]!PAJAK[ID],0)),"&gt;") )</f>
        <v/>
      </c>
      <c r="D187" s="6" t="str">
        <f>IF(KENKO[[#This Row],[ID NOTA]]="","",INDEX(Table1[QB],MATCH(KENKO[[#This Row],[ID NOTA]],Table1[ID],0)))</f>
        <v/>
      </c>
      <c r="E18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7" s="6" t="str">
        <f>IF(KENKO[[#This Row],[NO. NOTA]]="","",INDEX([5]KE!$A:$A,MATCH(KENKO[[#This Row],[NO. NOTA]],[5]KE!$D:$D,0)))</f>
        <v/>
      </c>
      <c r="G187" s="3" t="str">
        <f>IF(KENKO[[#This Row],[ID NOTA]]="","",INDEX([6]!NOTA[TGL_H],MATCH(KENKO[[#This Row],[ID NOTA]],[6]!NOTA[ID],0)))</f>
        <v/>
      </c>
      <c r="H187" s="3" t="str">
        <f>IF(KENKO[[#This Row],[ID NOTA]]="","",INDEX([6]!NOTA[TGL.NOTA],MATCH(KENKO[[#This Row],[ID NOTA]],[6]!NOTA[ID],0)))</f>
        <v/>
      </c>
      <c r="I187" s="19" t="str">
        <f>IF(KENKO[[#This Row],[ID NOTA]]="","",INDEX([6]!NOTA[NO.NOTA],MATCH(KENKO[[#This Row],[ID NOTA]],[6]!NOTA[ID],0)))</f>
        <v/>
      </c>
      <c r="J187" s="4" t="s">
        <v>136</v>
      </c>
      <c r="K187" s="6" t="str">
        <f>""</f>
        <v/>
      </c>
      <c r="L187" s="6" t="str">
        <f ca="1">IF(KENKO[//]="","",IF(INDEX([6]!NOTA[QTY],KENKO[//]-2)="",INDEX([6]!NOTA[C],KENKO[//]-2),INDEX([6]!NOTA[QTY],KENKO[//]-2)))</f>
        <v/>
      </c>
      <c r="M187" s="6" t="str">
        <f ca="1">IF(KENKO[//]="","",IF(INDEX([6]!NOTA[STN],KENKO[//]-2)="","CTN",INDEX([6]!NOTA[STN],KENKO[//]-2)))</f>
        <v/>
      </c>
      <c r="N187" s="5" t="str">
        <f ca="1">IF(KENKO[[#This Row],[//]]="","",IF(INDEX([6]!NOTA[HARGA/ CTN],KENKO[[#This Row],[//]]-2)="",INDEX([6]!NOTA[HARGA SATUAN],KENKO[//]-2),INDEX([6]!NOTA[HARGA/ CTN],KENKO[[#This Row],[//]]-2)))</f>
        <v/>
      </c>
      <c r="O187" s="8" t="str">
        <f ca="1">IF(KENKO[[#This Row],[//]]="","",INDEX([6]!NOTA[DISC 1],KENKO[[#This Row],[//]]-2))</f>
        <v/>
      </c>
      <c r="P187" s="8" t="str">
        <f ca="1">IF(KENKO[[#This Row],[//]]="","",INDEX([6]!NOTA[DISC 2],KENKO[[#This Row],[//]]-2))</f>
        <v/>
      </c>
      <c r="Q187" s="5" t="str">
        <f ca="1">IF(KENKO[[#This Row],[//]]="","",INDEX([6]!NOTA[JUMLAH],KENKO[[#This Row],[//]]-2)*(100%-IF(ISNUMBER(KENKO[[#This Row],[DISC 1 (%)]]),KENKO[[#This Row],[DISC 1 (%)]],0)))</f>
        <v/>
      </c>
      <c r="R1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4" t="str">
        <f ca="1">IF(KENKO[[#This Row],[//]]="","",INDEX([6]!NOTA[NAMA BARANG],KENKO[[#This Row],[//]]-2))</f>
        <v/>
      </c>
      <c r="V187" s="4" t="str">
        <f ca="1">LOWER(SUBSTITUTE(SUBSTITUTE(SUBSTITUTE(SUBSTITUTE(SUBSTITUTE(SUBSTITUTE(SUBSTITUTE(SUBSTITUTE(KENKO[[#This Row],[N.B.nota]]," ",""),"-",""),"(",""),")",""),".",""),",",""),"/",""),"""",""))</f>
        <v/>
      </c>
      <c r="W187" s="4" t="s">
        <v>136</v>
      </c>
      <c r="X187" s="4" t="str">
        <f ca="1">IF(KENKO[[#This Row],[N.B.nota]]="","",ADDRESS(ROW(KENKO[QB]),COLUMN(KENKO[QB]))&amp;":"&amp;ADDRESS(ROW(),COLUMN(KENKO[QB])))</f>
        <v/>
      </c>
      <c r="Y187" s="14" t="str">
        <f ca="1">IF(KENKO[[#This Row],[//]]="","",HYPERLINK("[..\\DB.xlsx]DB!e"&amp;MATCH(KENKO[[#This Row],[concat]],[4]!db[NB NOTA_C],0)+1,"&gt;"))</f>
        <v/>
      </c>
    </row>
    <row r="188" spans="1:25" x14ac:dyDescent="0.25">
      <c r="A188" s="4" t="s">
        <v>118</v>
      </c>
      <c r="B188" s="6">
        <f ca="1">IF(KENKO[[#This Row],[N_ID]]="","",INDEX(Table1[ID],MATCH(KENKO[[#This Row],[N_ID]],Table1[N_ID],0)))</f>
        <v>140</v>
      </c>
      <c r="C188" s="6" t="str">
        <f ca="1">IF(KENKO[[#This Row],[ID NOTA]]="","",HYPERLINK("[NOTA_.xlsx]NOTA!e"&amp;INDEX([6]!PAJAK[//],MATCH(KENKO[[#This Row],[ID NOTA]],[6]!PAJAK[ID],0)),"&gt;") )</f>
        <v>&gt;</v>
      </c>
      <c r="D188" s="6">
        <f ca="1">IF(KENKO[[#This Row],[ID NOTA]]="","",INDEX(Table1[QB],MATCH(KENKO[[#This Row],[ID NOTA]],Table1[ID],0)))</f>
        <v>7</v>
      </c>
      <c r="E18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706</v>
      </c>
      <c r="F188" s="6" t="e">
        <f ca="1">IF(KENKO[[#This Row],[NO. NOTA]]="","",INDEX([5]KE!$A:$A,MATCH(KENKO[[#This Row],[NO. NOTA]],[5]KE!$D:$D,0)))</f>
        <v>#N/A</v>
      </c>
      <c r="G188" s="3">
        <f ca="1">IF(KENKO[[#This Row],[ID NOTA]]="","",INDEX([6]!NOTA[TGL_H],MATCH(KENKO[[#This Row],[ID NOTA]],[6]!NOTA[ID],0)))</f>
        <v>44767</v>
      </c>
      <c r="H188" s="3">
        <f ca="1">IF(KENKO[[#This Row],[ID NOTA]]="","",INDEX([6]!NOTA[TGL.NOTA],MATCH(KENKO[[#This Row],[ID NOTA]],[6]!NOTA[ID],0)))</f>
        <v>44763</v>
      </c>
      <c r="I188" s="19" t="str">
        <f ca="1">IF(KENKO[[#This Row],[ID NOTA]]="","",INDEX([6]!NOTA[NO.NOTA],MATCH(KENKO[[#This Row],[ID NOTA]],[6]!NOTA[ID],0)))</f>
        <v>22071988</v>
      </c>
      <c r="J188" s="4" t="s">
        <v>219</v>
      </c>
      <c r="K188" s="6" t="str">
        <f>""</f>
        <v/>
      </c>
      <c r="L188" s="6">
        <f ca="1">IF(KENKO[//]="","",IF(INDEX([6]!NOTA[QTY],KENKO[//]-2)="",INDEX([6]!NOTA[C],KENKO[//]-2),INDEX([6]!NOTA[QTY],KENKO[//]-2)))</f>
        <v>1</v>
      </c>
      <c r="M188" s="6" t="str">
        <f ca="1">IF(KENKO[//]="","",IF(INDEX([6]!NOTA[STN],KENKO[//]-2)="","CTN",INDEX([6]!NOTA[STN],KENKO[//]-2)))</f>
        <v>CTN</v>
      </c>
      <c r="N188" s="5">
        <f ca="1">IF(KENKO[[#This Row],[//]]="","",IF(INDEX([6]!NOTA[HARGA/ CTN],KENKO[[#This Row],[//]]-2)="",INDEX([6]!NOTA[HARGA SATUAN],KENKO[//]-2),INDEX([6]!NOTA[HARGA/ CTN],KENKO[[#This Row],[//]]-2)))</f>
        <v>1710000</v>
      </c>
      <c r="O188" s="8">
        <f ca="1">IF(KENKO[[#This Row],[//]]="","",INDEX([6]!NOTA[DISC 1],KENKO[[#This Row],[//]]-2))</f>
        <v>0.17</v>
      </c>
      <c r="P188" s="8">
        <f ca="1">IF(KENKO[[#This Row],[//]]="","",INDEX([6]!NOTA[DISC 2],KENKO[[#This Row],[//]]-2))</f>
        <v>0</v>
      </c>
      <c r="Q188" s="5">
        <f ca="1">IF(KENKO[[#This Row],[//]]="","",INDEX([6]!NOTA[JUMLAH],KENKO[[#This Row],[//]]-2)*(100%-IF(ISNUMBER(KENKO[[#This Row],[DISC 1 (%)]]),KENKO[[#This Row],[DISC 1 (%)]],0)))</f>
        <v>1419300</v>
      </c>
      <c r="R1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4" t="str">
        <f ca="1">IF(KENKO[[#This Row],[//]]="","",INDEX([6]!NOTA[NAMA BARANG],KENKO[[#This Row],[//]]-2))</f>
        <v>KENKO CUTTER A-300 (9MM BLADE)</v>
      </c>
      <c r="V188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88" s="4" t="s">
        <v>137</v>
      </c>
      <c r="X188" s="4" t="str">
        <f ca="1">IF(KENKO[[#This Row],[N.B.nota]]="","",ADDRESS(ROW(KENKO[QB]),COLUMN(KENKO[QB]))&amp;":"&amp;ADDRESS(ROW(),COLUMN(KENKO[QB])))</f>
        <v>$D$3:$D$188</v>
      </c>
      <c r="Y188" s="14" t="str">
        <f ca="1">IF(KENKO[[#This Row],[//]]="","",HYPERLINK("[..\\DB.xlsx]DB!e"&amp;MATCH(KENKO[[#This Row],[concat]],[4]!db[NB NOTA_C],0)+1,"&gt;"))</f>
        <v>&gt;</v>
      </c>
    </row>
    <row r="189" spans="1:25" x14ac:dyDescent="0.25">
      <c r="A189" s="4"/>
      <c r="B189" s="6" t="str">
        <f>IF(KENKO[[#This Row],[N_ID]]="","",INDEX(Table1[ID],MATCH(KENKO[[#This Row],[N_ID]],Table1[N_ID],0)))</f>
        <v/>
      </c>
      <c r="C189" s="6" t="str">
        <f>IF(KENKO[[#This Row],[ID NOTA]]="","",HYPERLINK("[NOTA_.xlsx]NOTA!e"&amp;INDEX([6]!PAJAK[//],MATCH(KENKO[[#This Row],[ID NOTA]],[6]!PAJAK[ID],0)),"&gt;") )</f>
        <v/>
      </c>
      <c r="D189" s="6" t="str">
        <f>IF(KENKO[[#This Row],[ID NOTA]]="","",INDEX(Table1[QB],MATCH(KENKO[[#This Row],[ID NOTA]],Table1[ID],0)))</f>
        <v/>
      </c>
      <c r="E18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707</v>
      </c>
      <c r="F189" s="6" t="str">
        <f>IF(KENKO[[#This Row],[NO. NOTA]]="","",INDEX([5]KE!$A:$A,MATCH(KENKO[[#This Row],[NO. NOTA]],[5]KE!$D:$D,0)))</f>
        <v/>
      </c>
      <c r="G189" s="3" t="str">
        <f>IF(KENKO[[#This Row],[ID NOTA]]="","",INDEX([6]!NOTA[TGL_H],MATCH(KENKO[[#This Row],[ID NOTA]],[6]!NOTA[ID],0)))</f>
        <v/>
      </c>
      <c r="H189" s="3" t="str">
        <f>IF(KENKO[[#This Row],[ID NOTA]]="","",INDEX([6]!NOTA[TGL.NOTA],MATCH(KENKO[[#This Row],[ID NOTA]],[6]!NOTA[ID],0)))</f>
        <v/>
      </c>
      <c r="I189" s="19" t="str">
        <f>IF(KENKO[[#This Row],[ID NOTA]]="","",INDEX([6]!NOTA[NO.NOTA],MATCH(KENKO[[#This Row],[ID NOTA]],[6]!NOTA[ID],0)))</f>
        <v/>
      </c>
      <c r="J189" s="4" t="s">
        <v>242</v>
      </c>
      <c r="K189" s="6" t="str">
        <f>""</f>
        <v/>
      </c>
      <c r="L189" s="6">
        <f ca="1">IF(KENKO[//]="","",IF(INDEX([6]!NOTA[QTY],KENKO[//]-2)="",INDEX([6]!NOTA[C],KENKO[//]-2),INDEX([6]!NOTA[QTY],KENKO[//]-2)))</f>
        <v>1</v>
      </c>
      <c r="M189" s="6" t="str">
        <f ca="1">IF(KENKO[//]="","",IF(INDEX([6]!NOTA[STN],KENKO[//]-2)="","CTN",INDEX([6]!NOTA[STN],KENKO[//]-2)))</f>
        <v>CTN</v>
      </c>
      <c r="N189" s="5">
        <f ca="1">IF(KENKO[[#This Row],[//]]="","",IF(INDEX([6]!NOTA[HARGA/ CTN],KENKO[[#This Row],[//]]-2)="",INDEX([6]!NOTA[HARGA SATUAN],KENKO[//]-2),INDEX([6]!NOTA[HARGA/ CTN],KENKO[[#This Row],[//]]-2)))</f>
        <v>1987200</v>
      </c>
      <c r="O189" s="8">
        <f ca="1">IF(KENKO[[#This Row],[//]]="","",INDEX([6]!NOTA[DISC 1],KENKO[[#This Row],[//]]-2))</f>
        <v>0.17</v>
      </c>
      <c r="P189" s="8">
        <f ca="1">IF(KENKO[[#This Row],[//]]="","",INDEX([6]!NOTA[DISC 2],KENKO[[#This Row],[//]]-2))</f>
        <v>0</v>
      </c>
      <c r="Q189" s="5">
        <f ca="1">IF(KENKO[[#This Row],[//]]="","",INDEX([6]!NOTA[JUMLAH],KENKO[[#This Row],[//]]-2)*(100%-IF(ISNUMBER(KENKO[[#This Row],[DISC 1 (%)]]),KENKO[[#This Row],[DISC 1 (%)]],0)))</f>
        <v>1649376</v>
      </c>
      <c r="R1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4" t="str">
        <f ca="1">IF(KENKO[[#This Row],[//]]="","",INDEX([6]!NOTA[NAMA BARANG],KENKO[[#This Row],[//]]-2))</f>
        <v>KENKO COLOR CLIP 3100</v>
      </c>
      <c r="V189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89" s="4" t="s">
        <v>137</v>
      </c>
      <c r="X189" s="4" t="str">
        <f ca="1">IF(KENKO[[#This Row],[N.B.nota]]="","",ADDRESS(ROW(KENKO[QB]),COLUMN(KENKO[QB]))&amp;":"&amp;ADDRESS(ROW(),COLUMN(KENKO[QB])))</f>
        <v>$D$3:$D$189</v>
      </c>
      <c r="Y189" s="14" t="str">
        <f ca="1">IF(KENKO[[#This Row],[//]]="","",HYPERLINK("[..\\DB.xlsx]DB!e"&amp;MATCH(KENKO[[#This Row],[concat]],[4]!db[NB NOTA_C],0)+1,"&gt;"))</f>
        <v>&gt;</v>
      </c>
    </row>
    <row r="190" spans="1:25" x14ac:dyDescent="0.25">
      <c r="A190" s="4"/>
      <c r="B190" s="6" t="str">
        <f>IF(KENKO[[#This Row],[N_ID]]="","",INDEX(Table1[ID],MATCH(KENKO[[#This Row],[N_ID]],Table1[N_ID],0)))</f>
        <v/>
      </c>
      <c r="C190" s="6" t="str">
        <f>IF(KENKO[[#This Row],[ID NOTA]]="","",HYPERLINK("[NOTA_.xlsx]NOTA!e"&amp;INDEX([6]!PAJAK[//],MATCH(KENKO[[#This Row],[ID NOTA]],[6]!PAJAK[ID],0)),"&gt;") )</f>
        <v/>
      </c>
      <c r="D190" s="6" t="str">
        <f>IF(KENKO[[#This Row],[ID NOTA]]="","",INDEX(Table1[QB],MATCH(KENKO[[#This Row],[ID NOTA]],Table1[ID],0)))</f>
        <v/>
      </c>
      <c r="E19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708</v>
      </c>
      <c r="F190" s="6" t="str">
        <f>IF(KENKO[[#This Row],[NO. NOTA]]="","",INDEX([5]KE!$A:$A,MATCH(KENKO[[#This Row],[NO. NOTA]],[5]KE!$D:$D,0)))</f>
        <v/>
      </c>
      <c r="G190" s="3" t="str">
        <f>IF(KENKO[[#This Row],[ID NOTA]]="","",INDEX([6]!NOTA[TGL_H],MATCH(KENKO[[#This Row],[ID NOTA]],[6]!NOTA[ID],0)))</f>
        <v/>
      </c>
      <c r="H190" s="3" t="str">
        <f>IF(KENKO[[#This Row],[ID NOTA]]="","",INDEX([6]!NOTA[TGL.NOTA],MATCH(KENKO[[#This Row],[ID NOTA]],[6]!NOTA[ID],0)))</f>
        <v/>
      </c>
      <c r="I190" s="19" t="str">
        <f>IF(KENKO[[#This Row],[ID NOTA]]="","",INDEX([6]!NOTA[NO.NOTA],MATCH(KENKO[[#This Row],[ID NOTA]],[6]!NOTA[ID],0)))</f>
        <v/>
      </c>
      <c r="J190" s="4" t="s">
        <v>195</v>
      </c>
      <c r="K190" s="6" t="str">
        <f>""</f>
        <v/>
      </c>
      <c r="L190" s="6">
        <f ca="1">IF(KENKO[//]="","",IF(INDEX([6]!NOTA[QTY],KENKO[//]-2)="",INDEX([6]!NOTA[C],KENKO[//]-2),INDEX([6]!NOTA[QTY],KENKO[//]-2)))</f>
        <v>2</v>
      </c>
      <c r="M190" s="6" t="str">
        <f ca="1">IF(KENKO[//]="","",IF(INDEX([6]!NOTA[STN],KENKO[//]-2)="","CTN",INDEX([6]!NOTA[STN],KENKO[//]-2)))</f>
        <v>CTN</v>
      </c>
      <c r="N190" s="5">
        <f ca="1">IF(KENKO[[#This Row],[//]]="","",IF(INDEX([6]!NOTA[HARGA/ CTN],KENKO[[#This Row],[//]]-2)="",INDEX([6]!NOTA[HARGA SATUAN],KENKO[//]-2),INDEX([6]!NOTA[HARGA/ CTN],KENKO[[#This Row],[//]]-2)))</f>
        <v>1476000</v>
      </c>
      <c r="O190" s="8">
        <f ca="1">IF(KENKO[[#This Row],[//]]="","",INDEX([6]!NOTA[DISC 1],KENKO[[#This Row],[//]]-2))</f>
        <v>0.17</v>
      </c>
      <c r="P190" s="8">
        <f ca="1">IF(KENKO[[#This Row],[//]]="","",INDEX([6]!NOTA[DISC 2],KENKO[[#This Row],[//]]-2))</f>
        <v>0</v>
      </c>
      <c r="Q190" s="5">
        <f ca="1">IF(KENKO[[#This Row],[//]]="","",INDEX([6]!NOTA[JUMLAH],KENKO[[#This Row],[//]]-2)*(100%-IF(ISNUMBER(KENKO[[#This Row],[DISC 1 (%)]]),KENKO[[#This Row],[DISC 1 (%)]],0)))</f>
        <v>2450160</v>
      </c>
      <c r="R1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4" t="str">
        <f ca="1">IF(KENKO[[#This Row],[//]]="","",INDEX([6]!NOTA[NAMA BARANG],KENKO[[#This Row],[//]]-2))</f>
        <v>KENKO BINDER CLIP NO.111</v>
      </c>
      <c r="V190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90" s="4" t="s">
        <v>137</v>
      </c>
      <c r="X190" s="4" t="str">
        <f ca="1">IF(KENKO[[#This Row],[N.B.nota]]="","",ADDRESS(ROW(KENKO[QB]),COLUMN(KENKO[QB]))&amp;":"&amp;ADDRESS(ROW(),COLUMN(KENKO[QB])))</f>
        <v>$D$3:$D$190</v>
      </c>
      <c r="Y190" s="14" t="str">
        <f ca="1">IF(KENKO[[#This Row],[//]]="","",HYPERLINK("[..\\DB.xlsx]DB!e"&amp;MATCH(KENKO[[#This Row],[concat]],[4]!db[NB NOTA_C],0)+1,"&gt;"))</f>
        <v>&gt;</v>
      </c>
    </row>
    <row r="191" spans="1:25" x14ac:dyDescent="0.25">
      <c r="A191" s="4"/>
      <c r="B191" s="6" t="str">
        <f>IF(KENKO[[#This Row],[N_ID]]="","",INDEX(Table1[ID],MATCH(KENKO[[#This Row],[N_ID]],Table1[N_ID],0)))</f>
        <v/>
      </c>
      <c r="C191" s="6" t="str">
        <f>IF(KENKO[[#This Row],[ID NOTA]]="","",HYPERLINK("[NOTA_.xlsx]NOTA!e"&amp;INDEX([6]!PAJAK[//],MATCH(KENKO[[#This Row],[ID NOTA]],[6]!PAJAK[ID],0)),"&gt;") )</f>
        <v/>
      </c>
      <c r="D191" s="6" t="str">
        <f>IF(KENKO[[#This Row],[ID NOTA]]="","",INDEX(Table1[QB],MATCH(KENKO[[#This Row],[ID NOTA]],Table1[ID],0)))</f>
        <v/>
      </c>
      <c r="E19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709</v>
      </c>
      <c r="F191" s="6" t="str">
        <f>IF(KENKO[[#This Row],[NO. NOTA]]="","",INDEX([5]KE!$A:$A,MATCH(KENKO[[#This Row],[NO. NOTA]],[5]KE!$D:$D,0)))</f>
        <v/>
      </c>
      <c r="G191" s="3" t="str">
        <f>IF(KENKO[[#This Row],[ID NOTA]]="","",INDEX([6]!NOTA[TGL_H],MATCH(KENKO[[#This Row],[ID NOTA]],[6]!NOTA[ID],0)))</f>
        <v/>
      </c>
      <c r="H191" s="3" t="str">
        <f>IF(KENKO[[#This Row],[ID NOTA]]="","",INDEX([6]!NOTA[TGL.NOTA],MATCH(KENKO[[#This Row],[ID NOTA]],[6]!NOTA[ID],0)))</f>
        <v/>
      </c>
      <c r="I191" s="19" t="str">
        <f>IF(KENKO[[#This Row],[ID NOTA]]="","",INDEX([6]!NOTA[NO.NOTA],MATCH(KENKO[[#This Row],[ID NOTA]],[6]!NOTA[ID],0)))</f>
        <v/>
      </c>
      <c r="J191" s="4" t="s">
        <v>235</v>
      </c>
      <c r="K191" s="6" t="str">
        <f>""</f>
        <v/>
      </c>
      <c r="L191" s="6">
        <f ca="1">IF(KENKO[//]="","",IF(INDEX([6]!NOTA[QTY],KENKO[//]-2)="",INDEX([6]!NOTA[C],KENKO[//]-2),INDEX([6]!NOTA[QTY],KENKO[//]-2)))</f>
        <v>2</v>
      </c>
      <c r="M191" s="6" t="str">
        <f ca="1">IF(KENKO[//]="","",IF(INDEX([6]!NOTA[STN],KENKO[//]-2)="","CTN",INDEX([6]!NOTA[STN],KENKO[//]-2)))</f>
        <v>CTN</v>
      </c>
      <c r="N191" s="5">
        <f ca="1">IF(KENKO[[#This Row],[//]]="","",IF(INDEX([6]!NOTA[HARGA/ CTN],KENKO[[#This Row],[//]]-2)="",INDEX([6]!NOTA[HARGA SATUAN],KENKO[//]-2),INDEX([6]!NOTA[HARGA/ CTN],KENKO[[#This Row],[//]]-2)))</f>
        <v>2112000</v>
      </c>
      <c r="O191" s="8">
        <f ca="1">IF(KENKO[[#This Row],[//]]="","",INDEX([6]!NOTA[DISC 1],KENKO[[#This Row],[//]]-2))</f>
        <v>0.17</v>
      </c>
      <c r="P191" s="8">
        <f ca="1">IF(KENKO[[#This Row],[//]]="","",INDEX([6]!NOTA[DISC 2],KENKO[[#This Row],[//]]-2))</f>
        <v>0</v>
      </c>
      <c r="Q191" s="5">
        <f ca="1">IF(KENKO[[#This Row],[//]]="","",INDEX([6]!NOTA[JUMLAH],KENKO[[#This Row],[//]]-2)*(100%-IF(ISNUMBER(KENKO[[#This Row],[DISC 1 (%)]]),KENKO[[#This Row],[DISC 1 (%)]],0)))</f>
        <v>3505920</v>
      </c>
      <c r="R1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4" t="str">
        <f ca="1">IF(KENKO[[#This Row],[//]]="","",INDEX([6]!NOTA[NAMA BARANG],KENKO[[#This Row],[//]]-2))</f>
        <v>KENKO PENCIL 2B-3181 HITAM CAP MERAH</v>
      </c>
      <c r="V191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91" s="4" t="s">
        <v>137</v>
      </c>
      <c r="X191" s="4" t="str">
        <f ca="1">IF(KENKO[[#This Row],[N.B.nota]]="","",ADDRESS(ROW(KENKO[QB]),COLUMN(KENKO[QB]))&amp;":"&amp;ADDRESS(ROW(),COLUMN(KENKO[QB])))</f>
        <v>$D$3:$D$191</v>
      </c>
      <c r="Y191" s="14" t="str">
        <f ca="1">IF(KENKO[[#This Row],[//]]="","",HYPERLINK("[..\\DB.xlsx]DB!e"&amp;MATCH(KENKO[[#This Row],[concat]],[4]!db[NB NOTA_C],0)+1,"&gt;"))</f>
        <v>&gt;</v>
      </c>
    </row>
    <row r="192" spans="1:25" x14ac:dyDescent="0.25">
      <c r="A192" s="4"/>
      <c r="B192" s="6" t="str">
        <f>IF(KENKO[[#This Row],[N_ID]]="","",INDEX(Table1[ID],MATCH(KENKO[[#This Row],[N_ID]],Table1[N_ID],0)))</f>
        <v/>
      </c>
      <c r="C192" s="6" t="str">
        <f>IF(KENKO[[#This Row],[ID NOTA]]="","",HYPERLINK("[NOTA_.xlsx]NOTA!e"&amp;INDEX([6]!PAJAK[//],MATCH(KENKO[[#This Row],[ID NOTA]],[6]!PAJAK[ID],0)),"&gt;") )</f>
        <v/>
      </c>
      <c r="D192" s="6" t="str">
        <f>IF(KENKO[[#This Row],[ID NOTA]]="","",INDEX(Table1[QB],MATCH(KENKO[[#This Row],[ID NOTA]],Table1[ID],0)))</f>
        <v/>
      </c>
      <c r="E19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710</v>
      </c>
      <c r="F192" s="6" t="str">
        <f>IF(KENKO[[#This Row],[NO. NOTA]]="","",INDEX([5]KE!$A:$A,MATCH(KENKO[[#This Row],[NO. NOTA]],[5]KE!$D:$D,0)))</f>
        <v/>
      </c>
      <c r="G192" s="3" t="str">
        <f>IF(KENKO[[#This Row],[ID NOTA]]="","",INDEX([6]!NOTA[TGL_H],MATCH(KENKO[[#This Row],[ID NOTA]],[6]!NOTA[ID],0)))</f>
        <v/>
      </c>
      <c r="H192" s="3" t="str">
        <f>IF(KENKO[[#This Row],[ID NOTA]]="","",INDEX([6]!NOTA[TGL.NOTA],MATCH(KENKO[[#This Row],[ID NOTA]],[6]!NOTA[ID],0)))</f>
        <v/>
      </c>
      <c r="I192" s="19" t="str">
        <f>IF(KENKO[[#This Row],[ID NOTA]]="","",INDEX([6]!NOTA[NO.NOTA],MATCH(KENKO[[#This Row],[ID NOTA]],[6]!NOTA[ID],0)))</f>
        <v/>
      </c>
      <c r="J192" s="4" t="s">
        <v>244</v>
      </c>
      <c r="K192" s="6" t="str">
        <f>""</f>
        <v/>
      </c>
      <c r="L192" s="6">
        <f ca="1">IF(KENKO[//]="","",IF(INDEX([6]!NOTA[QTY],KENKO[//]-2)="",INDEX([6]!NOTA[C],KENKO[//]-2),INDEX([6]!NOTA[QTY],KENKO[//]-2)))</f>
        <v>2</v>
      </c>
      <c r="M192" s="6" t="str">
        <f ca="1">IF(KENKO[//]="","",IF(INDEX([6]!NOTA[STN],KENKO[//]-2)="","CTN",INDEX([6]!NOTA[STN],KENKO[//]-2)))</f>
        <v>CTN</v>
      </c>
      <c r="N192" s="5">
        <f ca="1">IF(KENKO[[#This Row],[//]]="","",IF(INDEX([6]!NOTA[HARGA/ CTN],KENKO[[#This Row],[//]]-2)="",INDEX([6]!NOTA[HARGA SATUAN],KENKO[//]-2),INDEX([6]!NOTA[HARGA/ CTN],KENKO[[#This Row],[//]]-2)))</f>
        <v>1188000</v>
      </c>
      <c r="O192" s="8">
        <f ca="1">IF(KENKO[[#This Row],[//]]="","",INDEX([6]!NOTA[DISC 1],KENKO[[#This Row],[//]]-2))</f>
        <v>0.17</v>
      </c>
      <c r="P192" s="8">
        <f ca="1">IF(KENKO[[#This Row],[//]]="","",INDEX([6]!NOTA[DISC 2],KENKO[[#This Row],[//]]-2))</f>
        <v>0</v>
      </c>
      <c r="Q192" s="5">
        <f ca="1">IF(KENKO[[#This Row],[//]]="","",INDEX([6]!NOTA[JUMLAH],KENKO[[#This Row],[//]]-2)*(100%-IF(ISNUMBER(KENKO[[#This Row],[DISC 1 (%)]]),KENKO[[#This Row],[DISC 1 (%)]],0)))</f>
        <v>1972080</v>
      </c>
      <c r="R1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4" t="str">
        <f ca="1">IF(KENKO[[#This Row],[//]]="","",INDEX([6]!NOTA[NAMA BARANG],KENKO[[#This Row],[//]]-2))</f>
        <v>KENKO BINDER NOTE A5-BNPP-8C BASIC</v>
      </c>
      <c r="V192" s="4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192" s="4" t="s">
        <v>137</v>
      </c>
      <c r="X192" s="4" t="str">
        <f ca="1">IF(KENKO[[#This Row],[N.B.nota]]="","",ADDRESS(ROW(KENKO[QB]),COLUMN(KENKO[QB]))&amp;":"&amp;ADDRESS(ROW(),COLUMN(KENKO[QB])))</f>
        <v>$D$3:$D$192</v>
      </c>
      <c r="Y192" s="14" t="str">
        <f ca="1">IF(KENKO[[#This Row],[//]]="","",HYPERLINK("[..\\DB.xlsx]DB!e"&amp;MATCH(KENKO[[#This Row],[concat]],[4]!db[NB NOTA_C],0)+1,"&gt;"))</f>
        <v>&gt;</v>
      </c>
    </row>
    <row r="193" spans="1:25" x14ac:dyDescent="0.25">
      <c r="A193" s="4"/>
      <c r="B193" s="6" t="str">
        <f>IF(KENKO[[#This Row],[N_ID]]="","",INDEX(Table1[ID],MATCH(KENKO[[#This Row],[N_ID]],Table1[N_ID],0)))</f>
        <v/>
      </c>
      <c r="C193" s="6" t="str">
        <f>IF(KENKO[[#This Row],[ID NOTA]]="","",HYPERLINK("[NOTA_.xlsx]NOTA!e"&amp;INDEX([6]!PAJAK[//],MATCH(KENKO[[#This Row],[ID NOTA]],[6]!PAJAK[ID],0)),"&gt;") )</f>
        <v/>
      </c>
      <c r="D193" s="6" t="str">
        <f>IF(KENKO[[#This Row],[ID NOTA]]="","",INDEX(Table1[QB],MATCH(KENKO[[#This Row],[ID NOTA]],Table1[ID],0)))</f>
        <v/>
      </c>
      <c r="E19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711</v>
      </c>
      <c r="F193" s="6" t="str">
        <f>IF(KENKO[[#This Row],[NO. NOTA]]="","",INDEX([5]KE!$A:$A,MATCH(KENKO[[#This Row],[NO. NOTA]],[5]KE!$D:$D,0)))</f>
        <v/>
      </c>
      <c r="G193" s="3" t="str">
        <f>IF(KENKO[[#This Row],[ID NOTA]]="","",INDEX([6]!NOTA[TGL_H],MATCH(KENKO[[#This Row],[ID NOTA]],[6]!NOTA[ID],0)))</f>
        <v/>
      </c>
      <c r="H193" s="3" t="str">
        <f>IF(KENKO[[#This Row],[ID NOTA]]="","",INDEX([6]!NOTA[TGL.NOTA],MATCH(KENKO[[#This Row],[ID NOTA]],[6]!NOTA[ID],0)))</f>
        <v/>
      </c>
      <c r="I193" s="19" t="str">
        <f>IF(KENKO[[#This Row],[ID NOTA]]="","",INDEX([6]!NOTA[NO.NOTA],MATCH(KENKO[[#This Row],[ID NOTA]],[6]!NOTA[ID],0)))</f>
        <v/>
      </c>
      <c r="J193" s="4" t="s">
        <v>199</v>
      </c>
      <c r="K193" s="6" t="str">
        <f>""</f>
        <v/>
      </c>
      <c r="L193" s="6">
        <f ca="1">IF(KENKO[//]="","",IF(INDEX([6]!NOTA[QTY],KENKO[//]-2)="",INDEX([6]!NOTA[C],KENKO[//]-2),INDEX([6]!NOTA[QTY],KENKO[//]-2)))</f>
        <v>5</v>
      </c>
      <c r="M193" s="6" t="str">
        <f ca="1">IF(KENKO[//]="","",IF(INDEX([6]!NOTA[STN],KENKO[//]-2)="","CTN",INDEX([6]!NOTA[STN],KENKO[//]-2)))</f>
        <v>CTN</v>
      </c>
      <c r="N193" s="5">
        <f ca="1">IF(KENKO[[#This Row],[//]]="","",IF(INDEX([6]!NOTA[HARGA/ CTN],KENKO[[#This Row],[//]]-2)="",INDEX([6]!NOTA[HARGA SATUAN],KENKO[//]-2),INDEX([6]!NOTA[HARGA/ CTN],KENKO[[#This Row],[//]]-2)))</f>
        <v>800000</v>
      </c>
      <c r="O193" s="8">
        <f ca="1">IF(KENKO[[#This Row],[//]]="","",INDEX([6]!NOTA[DISC 1],KENKO[[#This Row],[//]]-2))</f>
        <v>0.17</v>
      </c>
      <c r="P193" s="8">
        <f ca="1">IF(KENKO[[#This Row],[//]]="","",INDEX([6]!NOTA[DISC 2],KENKO[[#This Row],[//]]-2))</f>
        <v>0</v>
      </c>
      <c r="Q193" s="5">
        <f ca="1">IF(KENKO[[#This Row],[//]]="","",INDEX([6]!NOTA[JUMLAH],KENKO[[#This Row],[//]]-2)*(100%-IF(ISNUMBER(KENKO[[#This Row],[DISC 1 (%)]]),KENKO[[#This Row],[DISC 1 (%)]],0)))</f>
        <v>3320000</v>
      </c>
      <c r="R19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4" t="str">
        <f ca="1">IF(KENKO[[#This Row],[//]]="","",INDEX([6]!NOTA[NAMA BARANG],KENKO[[#This Row],[//]]-2))</f>
        <v>KENKO TRIGONAL CLIP NO 3</v>
      </c>
      <c r="V193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3" s="4" t="s">
        <v>137</v>
      </c>
      <c r="X193" s="4" t="str">
        <f ca="1">IF(KENKO[[#This Row],[N.B.nota]]="","",ADDRESS(ROW(KENKO[QB]),COLUMN(KENKO[QB]))&amp;":"&amp;ADDRESS(ROW(),COLUMN(KENKO[QB])))</f>
        <v>$D$3:$D$193</v>
      </c>
      <c r="Y193" s="14" t="str">
        <f ca="1">IF(KENKO[[#This Row],[//]]="","",HYPERLINK("[..\\DB.xlsx]DB!e"&amp;MATCH(KENKO[[#This Row],[concat]],[4]!db[NB NOTA_C],0)+1,"&gt;"))</f>
        <v>&gt;</v>
      </c>
    </row>
    <row r="194" spans="1:25" x14ac:dyDescent="0.25">
      <c r="A194" s="4"/>
      <c r="B194" s="6" t="str">
        <f>IF(KENKO[[#This Row],[N_ID]]="","",INDEX(Table1[ID],MATCH(KENKO[[#This Row],[N_ID]],Table1[N_ID],0)))</f>
        <v/>
      </c>
      <c r="C194" s="6" t="str">
        <f>IF(KENKO[[#This Row],[ID NOTA]]="","",HYPERLINK("[NOTA_.xlsx]NOTA!e"&amp;INDEX([6]!PAJAK[//],MATCH(KENKO[[#This Row],[ID NOTA]],[6]!PAJAK[ID],0)),"&gt;") )</f>
        <v/>
      </c>
      <c r="D194" s="6" t="str">
        <f>IF(KENKO[[#This Row],[ID NOTA]]="","",INDEX(Table1[QB],MATCH(KENKO[[#This Row],[ID NOTA]],Table1[ID],0)))</f>
        <v/>
      </c>
      <c r="E19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712</v>
      </c>
      <c r="F194" s="6" t="str">
        <f>IF(KENKO[[#This Row],[NO. NOTA]]="","",INDEX([5]KE!$A:$A,MATCH(KENKO[[#This Row],[NO. NOTA]],[5]KE!$D:$D,0)))</f>
        <v/>
      </c>
      <c r="G194" s="3" t="str">
        <f>IF(KENKO[[#This Row],[ID NOTA]]="","",INDEX([6]!NOTA[TGL_H],MATCH(KENKO[[#This Row],[ID NOTA]],[6]!NOTA[ID],0)))</f>
        <v/>
      </c>
      <c r="H194" s="3" t="str">
        <f>IF(KENKO[[#This Row],[ID NOTA]]="","",INDEX([6]!NOTA[TGL.NOTA],MATCH(KENKO[[#This Row],[ID NOTA]],[6]!NOTA[ID],0)))</f>
        <v/>
      </c>
      <c r="I194" s="19" t="str">
        <f>IF(KENKO[[#This Row],[ID NOTA]]="","",INDEX([6]!NOTA[NO.NOTA],MATCH(KENKO[[#This Row],[ID NOTA]],[6]!NOTA[ID],0)))</f>
        <v/>
      </c>
      <c r="J194" s="4" t="s">
        <v>200</v>
      </c>
      <c r="K194" s="6" t="str">
        <f>""</f>
        <v/>
      </c>
      <c r="L194" s="6">
        <f ca="1">IF(KENKO[//]="","",IF(INDEX([6]!NOTA[QTY],KENKO[//]-2)="",INDEX([6]!NOTA[C],KENKO[//]-2),INDEX([6]!NOTA[QTY],KENKO[//]-2)))</f>
        <v>5</v>
      </c>
      <c r="M194" s="6" t="str">
        <f ca="1">IF(KENKO[//]="","",IF(INDEX([6]!NOTA[STN],KENKO[//]-2)="","CTN",INDEX([6]!NOTA[STN],KENKO[//]-2)))</f>
        <v>CTN</v>
      </c>
      <c r="N194" s="5">
        <f ca="1">IF(KENKO[[#This Row],[//]]="","",IF(INDEX([6]!NOTA[HARGA/ CTN],KENKO[[#This Row],[//]]-2)="",INDEX([6]!NOTA[HARGA SATUAN],KENKO[//]-2),INDEX([6]!NOTA[HARGA/ CTN],KENKO[[#This Row],[//]]-2)))</f>
        <v>860000</v>
      </c>
      <c r="O194" s="8">
        <f ca="1">IF(KENKO[[#This Row],[//]]="","",INDEX([6]!NOTA[DISC 1],KENKO[[#This Row],[//]]-2))</f>
        <v>0.17</v>
      </c>
      <c r="P194" s="8">
        <f ca="1">IF(KENKO[[#This Row],[//]]="","",INDEX([6]!NOTA[DISC 2],KENKO[[#This Row],[//]]-2))</f>
        <v>0</v>
      </c>
      <c r="Q194" s="5">
        <f ca="1">IF(KENKO[[#This Row],[//]]="","",INDEX([6]!NOTA[JUMLAH],KENKO[[#This Row],[//]]-2)*(100%-IF(ISNUMBER(KENKO[[#This Row],[DISC 1 (%)]]),KENKO[[#This Row],[DISC 1 (%)]],0)))</f>
        <v>3569000</v>
      </c>
      <c r="R19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3663364</v>
      </c>
      <c r="S19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17885836</v>
      </c>
      <c r="T19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4" t="str">
        <f ca="1">IF(KENKO[[#This Row],[//]]="","",INDEX([6]!NOTA[NAMA BARANG],KENKO[[#This Row],[//]]-2))</f>
        <v>KENKO JUMBO CLIP NO.5</v>
      </c>
      <c r="V194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4" s="4" t="s">
        <v>137</v>
      </c>
      <c r="X194" s="4" t="str">
        <f ca="1">IF(KENKO[[#This Row],[N.B.nota]]="","",ADDRESS(ROW(KENKO[QB]),COLUMN(KENKO[QB]))&amp;":"&amp;ADDRESS(ROW(),COLUMN(KENKO[QB])))</f>
        <v>$D$3:$D$194</v>
      </c>
      <c r="Y194" s="14" t="str">
        <f ca="1">IF(KENKO[[#This Row],[//]]="","",HYPERLINK("[..\\DB.xlsx]DB!e"&amp;MATCH(KENKO[[#This Row],[concat]],[4]!db[NB NOTA_C],0)+1,"&gt;"))</f>
        <v>&gt;</v>
      </c>
    </row>
    <row r="195" spans="1:25" x14ac:dyDescent="0.25">
      <c r="A195" s="4"/>
      <c r="B195" s="6" t="str">
        <f>IF(KENKO[[#This Row],[N_ID]]="","",INDEX(Table1[ID],MATCH(KENKO[[#This Row],[N_ID]],Table1[N_ID],0)))</f>
        <v/>
      </c>
      <c r="C195" s="6" t="str">
        <f>IF(KENKO[[#This Row],[ID NOTA]]="","",HYPERLINK("[NOTA_.xlsx]NOTA!e"&amp;INDEX([6]!PAJAK[//],MATCH(KENKO[[#This Row],[ID NOTA]],[6]!PAJAK[ID],0)),"&gt;") )</f>
        <v/>
      </c>
      <c r="D195" s="6" t="str">
        <f>IF(KENKO[[#This Row],[ID NOTA]]="","",INDEX(Table1[QB],MATCH(KENKO[[#This Row],[ID NOTA]],Table1[ID],0)))</f>
        <v/>
      </c>
      <c r="E19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5" s="6" t="str">
        <f>IF(KENKO[[#This Row],[NO. NOTA]]="","",INDEX([5]KE!$A:$A,MATCH(KENKO[[#This Row],[NO. NOTA]],[5]KE!$D:$D,0)))</f>
        <v/>
      </c>
      <c r="G195" s="3" t="str">
        <f>IF(KENKO[[#This Row],[ID NOTA]]="","",INDEX([6]!NOTA[TGL_H],MATCH(KENKO[[#This Row],[ID NOTA]],[6]!NOTA[ID],0)))</f>
        <v/>
      </c>
      <c r="H195" s="3" t="str">
        <f>IF(KENKO[[#This Row],[ID NOTA]]="","",INDEX([6]!NOTA[TGL.NOTA],MATCH(KENKO[[#This Row],[ID NOTA]],[6]!NOTA[ID],0)))</f>
        <v/>
      </c>
      <c r="I195" s="19" t="str">
        <f>IF(KENKO[[#This Row],[ID NOTA]]="","",INDEX([6]!NOTA[NO.NOTA],MATCH(KENKO[[#This Row],[ID NOTA]],[6]!NOTA[ID],0)))</f>
        <v/>
      </c>
      <c r="J195" s="4" t="s">
        <v>136</v>
      </c>
      <c r="K195" s="6" t="str">
        <f>""</f>
        <v/>
      </c>
      <c r="L195" s="6" t="str">
        <f ca="1">IF(KENKO[//]="","",IF(INDEX([6]!NOTA[QTY],KENKO[//]-2)="",INDEX([6]!NOTA[C],KENKO[//]-2),INDEX([6]!NOTA[QTY],KENKO[//]-2)))</f>
        <v/>
      </c>
      <c r="M195" s="6" t="str">
        <f ca="1">IF(KENKO[//]="","",IF(INDEX([6]!NOTA[STN],KENKO[//]-2)="","CTN",INDEX([6]!NOTA[STN],KENKO[//]-2)))</f>
        <v/>
      </c>
      <c r="N195" s="5" t="str">
        <f ca="1">IF(KENKO[[#This Row],[//]]="","",IF(INDEX([6]!NOTA[HARGA/ CTN],KENKO[[#This Row],[//]]-2)="",INDEX([6]!NOTA[HARGA SATUAN],KENKO[//]-2),INDEX([6]!NOTA[HARGA/ CTN],KENKO[[#This Row],[//]]-2)))</f>
        <v/>
      </c>
      <c r="O195" s="8" t="str">
        <f ca="1">IF(KENKO[[#This Row],[//]]="","",INDEX([6]!NOTA[DISC 1],KENKO[[#This Row],[//]]-2))</f>
        <v/>
      </c>
      <c r="P195" s="8" t="str">
        <f ca="1">IF(KENKO[[#This Row],[//]]="","",INDEX([6]!NOTA[DISC 2],KENKO[[#This Row],[//]]-2))</f>
        <v/>
      </c>
      <c r="Q195" s="5" t="str">
        <f ca="1">IF(KENKO[[#This Row],[//]]="","",INDEX([6]!NOTA[JUMLAH],KENKO[[#This Row],[//]]-2)*(100%-IF(ISNUMBER(KENKO[[#This Row],[DISC 1 (%)]]),KENKO[[#This Row],[DISC 1 (%)]],0)))</f>
        <v/>
      </c>
      <c r="R1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4" t="str">
        <f ca="1">IF(KENKO[[#This Row],[//]]="","",INDEX([6]!NOTA[NAMA BARANG],KENKO[[#This Row],[//]]-2))</f>
        <v/>
      </c>
      <c r="V195" s="4" t="str">
        <f ca="1">LOWER(SUBSTITUTE(SUBSTITUTE(SUBSTITUTE(SUBSTITUTE(SUBSTITUTE(SUBSTITUTE(SUBSTITUTE(SUBSTITUTE(KENKO[[#This Row],[N.B.nota]]," ",""),"-",""),"(",""),")",""),".",""),",",""),"/",""),"""",""))</f>
        <v/>
      </c>
      <c r="W195" s="4" t="s">
        <v>136</v>
      </c>
      <c r="X195" s="4" t="str">
        <f ca="1">IF(KENKO[[#This Row],[N.B.nota]]="","",ADDRESS(ROW(KENKO[QB]),COLUMN(KENKO[QB]))&amp;":"&amp;ADDRESS(ROW(),COLUMN(KENKO[QB])))</f>
        <v/>
      </c>
      <c r="Y195" s="14" t="str">
        <f ca="1">IF(KENKO[[#This Row],[//]]="","",HYPERLINK("[..\\DB.xlsx]DB!e"&amp;MATCH(KENKO[[#This Row],[concat]],[4]!db[NB NOTA_C],0)+1,"&gt;"))</f>
        <v/>
      </c>
    </row>
    <row r="196" spans="1:25" x14ac:dyDescent="0.25">
      <c r="A196" s="4" t="s">
        <v>103</v>
      </c>
      <c r="B196" s="6">
        <f ca="1">IF(KENKO[[#This Row],[N_ID]]="","",INDEX(Table1[ID],MATCH(KENKO[[#This Row],[N_ID]],Table1[N_ID],0)))</f>
        <v>149</v>
      </c>
      <c r="C196" s="6" t="str">
        <f ca="1">IF(KENKO[[#This Row],[ID NOTA]]="","",HYPERLINK("[NOTA_.xlsx]NOTA!e"&amp;INDEX([6]!PAJAK[//],MATCH(KENKO[[#This Row],[ID NOTA]],[6]!PAJAK[ID],0)),"&gt;") )</f>
        <v>&gt;</v>
      </c>
      <c r="D196" s="6">
        <f ca="1">IF(KENKO[[#This Row],[ID NOTA]]="","",INDEX(Table1[QB],MATCH(KENKO[[#This Row],[ID NOTA]],Table1[ID],0)))</f>
        <v>5</v>
      </c>
      <c r="E19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751</v>
      </c>
      <c r="F196" s="6" t="e">
        <f ca="1">IF(KENKO[[#This Row],[NO. NOTA]]="","",INDEX([5]KE!$A:$A,MATCH(KENKO[[#This Row],[NO. NOTA]],[5]KE!$D:$D,0)))</f>
        <v>#N/A</v>
      </c>
      <c r="G196" s="3">
        <f ca="1">IF(KENKO[[#This Row],[ID NOTA]]="","",INDEX([6]!NOTA[TGL_H],MATCH(KENKO[[#This Row],[ID NOTA]],[6]!NOTA[ID],0)))</f>
        <v>44768</v>
      </c>
      <c r="H196" s="3">
        <f ca="1">IF(KENKO[[#This Row],[ID NOTA]]="","",INDEX([6]!NOTA[TGL.NOTA],MATCH(KENKO[[#This Row],[ID NOTA]],[6]!NOTA[ID],0)))</f>
        <v>44763</v>
      </c>
      <c r="I196" s="19" t="str">
        <f ca="1">IF(KENKO[[#This Row],[ID NOTA]]="","",INDEX([6]!NOTA[NO.NOTA],MATCH(KENKO[[#This Row],[ID NOTA]],[6]!NOTA[ID],0)))</f>
        <v>22072109</v>
      </c>
      <c r="J196" s="4" t="s">
        <v>237</v>
      </c>
      <c r="K196" s="6" t="str">
        <f>""</f>
        <v/>
      </c>
      <c r="L196" s="6">
        <f ca="1">IF(KENKO[//]="","",IF(INDEX([6]!NOTA[QTY],KENKO[//]-2)="",INDEX([6]!NOTA[C],KENKO[//]-2),INDEX([6]!NOTA[QTY],KENKO[//]-2)))</f>
        <v>15</v>
      </c>
      <c r="M196" s="6" t="str">
        <f ca="1">IF(KENKO[//]="","",IF(INDEX([6]!NOTA[STN],KENKO[//]-2)="","CTN",INDEX([6]!NOTA[STN],KENKO[//]-2)))</f>
        <v>DOZ</v>
      </c>
      <c r="N196" s="5">
        <f ca="1">IF(KENKO[[#This Row],[//]]="","",IF(INDEX([6]!NOTA[HARGA/ CTN],KENKO[[#This Row],[//]]-2)="",INDEX([6]!NOTA[HARGA SATUAN],KENKO[//]-2),INDEX([6]!NOTA[HARGA/ CTN],KENKO[[#This Row],[//]]-2)))</f>
        <v>49800</v>
      </c>
      <c r="O196" s="8">
        <f ca="1">IF(KENKO[[#This Row],[//]]="","",INDEX([6]!NOTA[DISC 1],KENKO[[#This Row],[//]]-2))</f>
        <v>0.17</v>
      </c>
      <c r="P196" s="8">
        <f ca="1">IF(KENKO[[#This Row],[//]]="","",INDEX([6]!NOTA[DISC 2],KENKO[[#This Row],[//]]-2))</f>
        <v>0</v>
      </c>
      <c r="Q196" s="5">
        <f ca="1">IF(KENKO[[#This Row],[//]]="","",INDEX([6]!NOTA[JUMLAH],KENKO[[#This Row],[//]]-2)*(100%-IF(ISNUMBER(KENKO[[#This Row],[DISC 1 (%)]]),KENKO[[#This Row],[DISC 1 (%)]],0)))</f>
        <v>620010</v>
      </c>
      <c r="R19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4" t="str">
        <f ca="1">IF(KENKO[[#This Row],[//]]="","",INDEX([6]!NOTA[NAMA BARANG],KENKO[[#This Row],[//]]-2))</f>
        <v>KENKO SCISSOR SC-828</v>
      </c>
      <c r="V196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96" s="4" t="s">
        <v>137</v>
      </c>
      <c r="X196" s="4" t="str">
        <f ca="1">IF(KENKO[[#This Row],[N.B.nota]]="","",ADDRESS(ROW(KENKO[QB]),COLUMN(KENKO[QB]))&amp;":"&amp;ADDRESS(ROW(),COLUMN(KENKO[QB])))</f>
        <v>$D$3:$D$196</v>
      </c>
      <c r="Y196" s="14" t="str">
        <f ca="1">IF(KENKO[[#This Row],[//]]="","",HYPERLINK("[..\\DB.xlsx]DB!e"&amp;MATCH(KENKO[[#This Row],[concat]],[4]!db[NB NOTA_C],0)+1,"&gt;"))</f>
        <v>&gt;</v>
      </c>
    </row>
    <row r="197" spans="1:25" x14ac:dyDescent="0.25">
      <c r="A197" s="4"/>
      <c r="B197" s="6" t="str">
        <f>IF(KENKO[[#This Row],[N_ID]]="","",INDEX(Table1[ID],MATCH(KENKO[[#This Row],[N_ID]],Table1[N_ID],0)))</f>
        <v/>
      </c>
      <c r="C197" s="6" t="str">
        <f>IF(KENKO[[#This Row],[ID NOTA]]="","",HYPERLINK("[NOTA_.xlsx]NOTA!e"&amp;INDEX([6]!PAJAK[//],MATCH(KENKO[[#This Row],[ID NOTA]],[6]!PAJAK[ID],0)),"&gt;") )</f>
        <v/>
      </c>
      <c r="D197" s="6" t="str">
        <f>IF(KENKO[[#This Row],[ID NOTA]]="","",INDEX(Table1[QB],MATCH(KENKO[[#This Row],[ID NOTA]],Table1[ID],0)))</f>
        <v/>
      </c>
      <c r="E19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752</v>
      </c>
      <c r="F197" s="6" t="str">
        <f>IF(KENKO[[#This Row],[NO. NOTA]]="","",INDEX([5]KE!$A:$A,MATCH(KENKO[[#This Row],[NO. NOTA]],[5]KE!$D:$D,0)))</f>
        <v/>
      </c>
      <c r="G197" s="3" t="str">
        <f>IF(KENKO[[#This Row],[ID NOTA]]="","",INDEX([6]!NOTA[TGL_H],MATCH(KENKO[[#This Row],[ID NOTA]],[6]!NOTA[ID],0)))</f>
        <v/>
      </c>
      <c r="H197" s="3" t="str">
        <f>IF(KENKO[[#This Row],[ID NOTA]]="","",INDEX([6]!NOTA[TGL.NOTA],MATCH(KENKO[[#This Row],[ID NOTA]],[6]!NOTA[ID],0)))</f>
        <v/>
      </c>
      <c r="I197" s="19" t="str">
        <f>IF(KENKO[[#This Row],[ID NOTA]]="","",INDEX([6]!NOTA[NO.NOTA],MATCH(KENKO[[#This Row],[ID NOTA]],[6]!NOTA[ID],0)))</f>
        <v/>
      </c>
      <c r="J197" s="4" t="s">
        <v>167</v>
      </c>
      <c r="K197" s="6" t="str">
        <f>""</f>
        <v/>
      </c>
      <c r="L197" s="6">
        <f ca="1">IF(KENKO[//]="","",IF(INDEX([6]!NOTA[QTY],KENKO[//]-2)="",INDEX([6]!NOTA[C],KENKO[//]-2),INDEX([6]!NOTA[QTY],KENKO[//]-2)))</f>
        <v>10</v>
      </c>
      <c r="M197" s="6" t="str">
        <f ca="1">IF(KENKO[//]="","",IF(INDEX([6]!NOTA[STN],KENKO[//]-2)="","CTN",INDEX([6]!NOTA[STN],KENKO[//]-2)))</f>
        <v>CTN</v>
      </c>
      <c r="N197" s="5">
        <f ca="1">IF(KENKO[[#This Row],[//]]="","",IF(INDEX([6]!NOTA[HARGA/ CTN],KENKO[[#This Row],[//]]-2)="",INDEX([6]!NOTA[HARGA SATUAN],KENKO[//]-2),INDEX([6]!NOTA[HARGA/ CTN],KENKO[[#This Row],[//]]-2)))</f>
        <v>1954800</v>
      </c>
      <c r="O197" s="8">
        <f ca="1">IF(KENKO[[#This Row],[//]]="","",INDEX([6]!NOTA[DISC 1],KENKO[[#This Row],[//]]-2))</f>
        <v>0.17</v>
      </c>
      <c r="P197" s="8">
        <f ca="1">IF(KENKO[[#This Row],[//]]="","",INDEX([6]!NOTA[DISC 2],KENKO[[#This Row],[//]]-2))</f>
        <v>0</v>
      </c>
      <c r="Q197" s="5">
        <f ca="1">IF(KENKO[[#This Row],[//]]="","",INDEX([6]!NOTA[JUMLAH],KENKO[[#This Row],[//]]-2)*(100%-IF(ISNUMBER(KENKO[[#This Row],[DISC 1 (%)]]),KENKO[[#This Row],[DISC 1 (%)]],0)))</f>
        <v>16224840</v>
      </c>
      <c r="R1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4" t="str">
        <f ca="1">IF(KENKO[[#This Row],[//]]="","",INDEX([6]!NOTA[NAMA BARANG],KENKO[[#This Row],[//]]-2))</f>
        <v>KENKO CORRECTION FLUID KE-01</v>
      </c>
      <c r="V197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97" s="4" t="s">
        <v>137</v>
      </c>
      <c r="X197" s="4" t="str">
        <f ca="1">IF(KENKO[[#This Row],[N.B.nota]]="","",ADDRESS(ROW(KENKO[QB]),COLUMN(KENKO[QB]))&amp;":"&amp;ADDRESS(ROW(),COLUMN(KENKO[QB])))</f>
        <v>$D$3:$D$197</v>
      </c>
      <c r="Y197" s="14" t="str">
        <f ca="1">IF(KENKO[[#This Row],[//]]="","",HYPERLINK("[..\\DB.xlsx]DB!e"&amp;MATCH(KENKO[[#This Row],[concat]],[4]!db[NB NOTA_C],0)+1,"&gt;"))</f>
        <v>&gt;</v>
      </c>
    </row>
    <row r="198" spans="1:25" x14ac:dyDescent="0.25">
      <c r="A198" s="4"/>
      <c r="B198" s="6" t="str">
        <f>IF(KENKO[[#This Row],[N_ID]]="","",INDEX(Table1[ID],MATCH(KENKO[[#This Row],[N_ID]],Table1[N_ID],0)))</f>
        <v/>
      </c>
      <c r="C198" s="6" t="str">
        <f>IF(KENKO[[#This Row],[ID NOTA]]="","",HYPERLINK("[NOTA_.xlsx]NOTA!e"&amp;INDEX([6]!PAJAK[//],MATCH(KENKO[[#This Row],[ID NOTA]],[6]!PAJAK[ID],0)),"&gt;") )</f>
        <v/>
      </c>
      <c r="D198" s="6" t="str">
        <f>IF(KENKO[[#This Row],[ID NOTA]]="","",INDEX(Table1[QB],MATCH(KENKO[[#This Row],[ID NOTA]],Table1[ID],0)))</f>
        <v/>
      </c>
      <c r="E19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753</v>
      </c>
      <c r="F198" s="6" t="str">
        <f>IF(KENKO[[#This Row],[NO. NOTA]]="","",INDEX([5]KE!$A:$A,MATCH(KENKO[[#This Row],[NO. NOTA]],[5]KE!$D:$D,0)))</f>
        <v/>
      </c>
      <c r="G198" s="3" t="str">
        <f>IF(KENKO[[#This Row],[ID NOTA]]="","",INDEX([6]!NOTA[TGL_H],MATCH(KENKO[[#This Row],[ID NOTA]],[6]!NOTA[ID],0)))</f>
        <v/>
      </c>
      <c r="H198" s="3" t="str">
        <f>IF(KENKO[[#This Row],[ID NOTA]]="","",INDEX([6]!NOTA[TGL.NOTA],MATCH(KENKO[[#This Row],[ID NOTA]],[6]!NOTA[ID],0)))</f>
        <v/>
      </c>
      <c r="I198" s="19" t="str">
        <f>IF(KENKO[[#This Row],[ID NOTA]]="","",INDEX([6]!NOTA[NO.NOTA],MATCH(KENKO[[#This Row],[ID NOTA]],[6]!NOTA[ID],0)))</f>
        <v/>
      </c>
      <c r="J198" s="4" t="s">
        <v>234</v>
      </c>
      <c r="K198" s="6" t="str">
        <f>""</f>
        <v/>
      </c>
      <c r="L198" s="6">
        <f ca="1">IF(KENKO[//]="","",IF(INDEX([6]!NOTA[QTY],KENKO[//]-2)="",INDEX([6]!NOTA[C],KENKO[//]-2),INDEX([6]!NOTA[QTY],KENKO[//]-2)))</f>
        <v>5</v>
      </c>
      <c r="M198" s="6" t="str">
        <f ca="1">IF(KENKO[//]="","",IF(INDEX([6]!NOTA[STN],KENKO[//]-2)="","CTN",INDEX([6]!NOTA[STN],KENKO[//]-2)))</f>
        <v>CTN</v>
      </c>
      <c r="N198" s="5">
        <f ca="1">IF(KENKO[[#This Row],[//]]="","",IF(INDEX([6]!NOTA[HARGA/ CTN],KENKO[[#This Row],[//]]-2)="",INDEX([6]!NOTA[HARGA SATUAN],KENKO[//]-2),INDEX([6]!NOTA[HARGA/ CTN],KENKO[[#This Row],[//]]-2)))</f>
        <v>3888000</v>
      </c>
      <c r="O198" s="8">
        <f ca="1">IF(KENKO[[#This Row],[//]]="","",INDEX([6]!NOTA[DISC 1],KENKO[[#This Row],[//]]-2))</f>
        <v>0.17</v>
      </c>
      <c r="P198" s="8">
        <f ca="1">IF(KENKO[[#This Row],[//]]="","",INDEX([6]!NOTA[DISC 2],KENKO[[#This Row],[//]]-2))</f>
        <v>0</v>
      </c>
      <c r="Q198" s="5">
        <f ca="1">IF(KENKO[[#This Row],[//]]="","",INDEX([6]!NOTA[JUMLAH],KENKO[[#This Row],[//]]-2)*(100%-IF(ISNUMBER(KENKO[[#This Row],[DISC 1 (%)]]),KENKO[[#This Row],[DISC 1 (%)]],0)))</f>
        <v>16135200</v>
      </c>
      <c r="R1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4" t="str">
        <f ca="1">IF(KENKO[[#This Row],[//]]="","",INDEX([6]!NOTA[NAMA BARANG],KENKO[[#This Row],[//]]-2))</f>
        <v>KENKO CUTTER BLADE L-150 (18MM)</v>
      </c>
      <c r="V198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8" s="4" t="s">
        <v>137</v>
      </c>
      <c r="X198" s="4" t="str">
        <f ca="1">IF(KENKO[[#This Row],[N.B.nota]]="","",ADDRESS(ROW(KENKO[QB]),COLUMN(KENKO[QB]))&amp;":"&amp;ADDRESS(ROW(),COLUMN(KENKO[QB])))</f>
        <v>$D$3:$D$198</v>
      </c>
      <c r="Y198" s="14" t="str">
        <f ca="1">IF(KENKO[[#This Row],[//]]="","",HYPERLINK("[..\\DB.xlsx]DB!e"&amp;MATCH(KENKO[[#This Row],[concat]],[4]!db[NB NOTA_C],0)+1,"&gt;"))</f>
        <v>&gt;</v>
      </c>
    </row>
    <row r="199" spans="1:25" x14ac:dyDescent="0.25">
      <c r="A199" s="4"/>
      <c r="B199" s="6" t="str">
        <f>IF(KENKO[[#This Row],[N_ID]]="","",INDEX(Table1[ID],MATCH(KENKO[[#This Row],[N_ID]],Table1[N_ID],0)))</f>
        <v/>
      </c>
      <c r="C199" s="6" t="str">
        <f>IF(KENKO[[#This Row],[ID NOTA]]="","",HYPERLINK("[NOTA_.xlsx]NOTA!e"&amp;INDEX([6]!PAJAK[//],MATCH(KENKO[[#This Row],[ID NOTA]],[6]!PAJAK[ID],0)),"&gt;") )</f>
        <v/>
      </c>
      <c r="D199" s="6" t="str">
        <f>IF(KENKO[[#This Row],[ID NOTA]]="","",INDEX(Table1[QB],MATCH(KENKO[[#This Row],[ID NOTA]],Table1[ID],0)))</f>
        <v/>
      </c>
      <c r="E19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754</v>
      </c>
      <c r="F199" s="6" t="str">
        <f>IF(KENKO[[#This Row],[NO. NOTA]]="","",INDEX([5]KE!$A:$A,MATCH(KENKO[[#This Row],[NO. NOTA]],[5]KE!$D:$D,0)))</f>
        <v/>
      </c>
      <c r="G199" s="3" t="str">
        <f>IF(KENKO[[#This Row],[ID NOTA]]="","",INDEX([6]!NOTA[TGL_H],MATCH(KENKO[[#This Row],[ID NOTA]],[6]!NOTA[ID],0)))</f>
        <v/>
      </c>
      <c r="H199" s="3" t="str">
        <f>IF(KENKO[[#This Row],[ID NOTA]]="","",INDEX([6]!NOTA[TGL.NOTA],MATCH(KENKO[[#This Row],[ID NOTA]],[6]!NOTA[ID],0)))</f>
        <v/>
      </c>
      <c r="I199" s="19" t="str">
        <f>IF(KENKO[[#This Row],[ID NOTA]]="","",INDEX([6]!NOTA[NO.NOTA],MATCH(KENKO[[#This Row],[ID NOTA]],[6]!NOTA[ID],0)))</f>
        <v/>
      </c>
      <c r="J199" s="4" t="s">
        <v>245</v>
      </c>
      <c r="K199" s="6" t="str">
        <f>""</f>
        <v/>
      </c>
      <c r="L199" s="6">
        <f ca="1">IF(KENKO[//]="","",IF(INDEX([6]!NOTA[QTY],KENKO[//]-2)="",INDEX([6]!NOTA[C],KENKO[//]-2),INDEX([6]!NOTA[QTY],KENKO[//]-2)))</f>
        <v>6</v>
      </c>
      <c r="M199" s="6" t="str">
        <f ca="1">IF(KENKO[//]="","",IF(INDEX([6]!NOTA[STN],KENKO[//]-2)="","CTN",INDEX([6]!NOTA[STN],KENKO[//]-2)))</f>
        <v>CTN</v>
      </c>
      <c r="N199" s="5">
        <f ca="1">IF(KENKO[[#This Row],[//]]="","",IF(INDEX([6]!NOTA[HARGA/ CTN],KENKO[[#This Row],[//]]-2)="",INDEX([6]!NOTA[HARGA SATUAN],KENKO[//]-2),INDEX([6]!NOTA[HARGA/ CTN],KENKO[[#This Row],[//]]-2)))</f>
        <v>1890000</v>
      </c>
      <c r="O199" s="8">
        <f ca="1">IF(KENKO[[#This Row],[//]]="","",INDEX([6]!NOTA[DISC 1],KENKO[[#This Row],[//]]-2))</f>
        <v>0.17</v>
      </c>
      <c r="P199" s="8">
        <f ca="1">IF(KENKO[[#This Row],[//]]="","",INDEX([6]!NOTA[DISC 2],KENKO[[#This Row],[//]]-2))</f>
        <v>0</v>
      </c>
      <c r="Q199" s="5">
        <f ca="1">IF(KENKO[[#This Row],[//]]="","",INDEX([6]!NOTA[JUMLAH],KENKO[[#This Row],[//]]-2)*(100%-IF(ISNUMBER(KENKO[[#This Row],[DISC 1 (%)]]),KENKO[[#This Row],[DISC 1 (%)]],0)))</f>
        <v>9412200</v>
      </c>
      <c r="R1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4" t="str">
        <f ca="1">IF(KENKO[[#This Row],[//]]="","",INDEX([6]!NOTA[NAMA BARANG],KENKO[[#This Row],[//]]-2))</f>
        <v>KENKO SCISSOR SC-838N</v>
      </c>
      <c r="V199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99" s="4" t="s">
        <v>137</v>
      </c>
      <c r="X199" s="4" t="str">
        <f ca="1">IF(KENKO[[#This Row],[N.B.nota]]="","",ADDRESS(ROW(KENKO[QB]),COLUMN(KENKO[QB]))&amp;":"&amp;ADDRESS(ROW(),COLUMN(KENKO[QB])))</f>
        <v>$D$3:$D$199</v>
      </c>
      <c r="Y199" s="14" t="str">
        <f ca="1">IF(KENKO[[#This Row],[//]]="","",HYPERLINK("[..\\DB.xlsx]DB!e"&amp;MATCH(KENKO[[#This Row],[concat]],[4]!db[NB NOTA_C],0)+1,"&gt;"))</f>
        <v>&gt;</v>
      </c>
    </row>
    <row r="200" spans="1:25" x14ac:dyDescent="0.25">
      <c r="A200" s="4"/>
      <c r="B200" s="6" t="str">
        <f>IF(KENKO[[#This Row],[N_ID]]="","",INDEX(Table1[ID],MATCH(KENKO[[#This Row],[N_ID]],Table1[N_ID],0)))</f>
        <v/>
      </c>
      <c r="C200" s="6" t="str">
        <f>IF(KENKO[[#This Row],[ID NOTA]]="","",HYPERLINK("[NOTA_.xlsx]NOTA!e"&amp;INDEX([6]!PAJAK[//],MATCH(KENKO[[#This Row],[ID NOTA]],[6]!PAJAK[ID],0)),"&gt;") )</f>
        <v/>
      </c>
      <c r="D200" s="6" t="str">
        <f>IF(KENKO[[#This Row],[ID NOTA]]="","",INDEX(Table1[QB],MATCH(KENKO[[#This Row],[ID NOTA]],Table1[ID],0)))</f>
        <v/>
      </c>
      <c r="E20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755</v>
      </c>
      <c r="F200" s="6" t="str">
        <f>IF(KENKO[[#This Row],[NO. NOTA]]="","",INDEX([5]KE!$A:$A,MATCH(KENKO[[#This Row],[NO. NOTA]],[5]KE!$D:$D,0)))</f>
        <v/>
      </c>
      <c r="G200" s="3" t="str">
        <f>IF(KENKO[[#This Row],[ID NOTA]]="","",INDEX([6]!NOTA[TGL_H],MATCH(KENKO[[#This Row],[ID NOTA]],[6]!NOTA[ID],0)))</f>
        <v/>
      </c>
      <c r="H200" s="3" t="str">
        <f>IF(KENKO[[#This Row],[ID NOTA]]="","",INDEX([6]!NOTA[TGL.NOTA],MATCH(KENKO[[#This Row],[ID NOTA]],[6]!NOTA[ID],0)))</f>
        <v/>
      </c>
      <c r="I200" s="19" t="str">
        <f>IF(KENKO[[#This Row],[ID NOTA]]="","",INDEX([6]!NOTA[NO.NOTA],MATCH(KENKO[[#This Row],[ID NOTA]],[6]!NOTA[ID],0)))</f>
        <v/>
      </c>
      <c r="J200" s="4" t="s">
        <v>243</v>
      </c>
      <c r="K200" s="6" t="str">
        <f>""</f>
        <v/>
      </c>
      <c r="L200" s="6">
        <f ca="1">IF(KENKO[//]="","",IF(INDEX([6]!NOTA[QTY],KENKO[//]-2)="",INDEX([6]!NOTA[C],KENKO[//]-2),INDEX([6]!NOTA[QTY],KENKO[//]-2)))</f>
        <v>6</v>
      </c>
      <c r="M200" s="6" t="str">
        <f ca="1">IF(KENKO[//]="","",IF(INDEX([6]!NOTA[STN],KENKO[//]-2)="","CTN",INDEX([6]!NOTA[STN],KENKO[//]-2)))</f>
        <v>CTN</v>
      </c>
      <c r="N200" s="5">
        <f ca="1">IF(KENKO[[#This Row],[//]]="","",IF(INDEX([6]!NOTA[HARGA/ CTN],KENKO[[#This Row],[//]]-2)="",INDEX([6]!NOTA[HARGA SATUAN],KENKO[//]-2),INDEX([6]!NOTA[HARGA/ CTN],KENKO[[#This Row],[//]]-2)))</f>
        <v>1122000</v>
      </c>
      <c r="O200" s="8">
        <f ca="1">IF(KENKO[[#This Row],[//]]="","",INDEX([6]!NOTA[DISC 1],KENKO[[#This Row],[//]]-2))</f>
        <v>0.17</v>
      </c>
      <c r="P200" s="8">
        <f ca="1">IF(KENKO[[#This Row],[//]]="","",INDEX([6]!NOTA[DISC 2],KENKO[[#This Row],[//]]-2))</f>
        <v>0</v>
      </c>
      <c r="Q200" s="5">
        <f ca="1">IF(KENKO[[#This Row],[//]]="","",INDEX([6]!NOTA[JUMLAH],KENKO[[#This Row],[//]]-2)*(100%-IF(ISNUMBER(KENKO[[#This Row],[DISC 1 (%)]]),KENKO[[#This Row],[DISC 1 (%)]],0)))</f>
        <v>5587560</v>
      </c>
      <c r="R20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9827190.0000000019</v>
      </c>
      <c r="S20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47979810</v>
      </c>
      <c r="T20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4" t="str">
        <f ca="1">IF(KENKO[[#This Row],[//]]="","",INDEX([6]!NOTA[NAMA BARANG],KENKO[[#This Row],[//]]-2))</f>
        <v>KENKO SCISSOR SC-848N</v>
      </c>
      <c r="V200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200" s="4" t="s">
        <v>137</v>
      </c>
      <c r="X200" s="4" t="str">
        <f ca="1">IF(KENKO[[#This Row],[N.B.nota]]="","",ADDRESS(ROW(KENKO[QB]),COLUMN(KENKO[QB]))&amp;":"&amp;ADDRESS(ROW(),COLUMN(KENKO[QB])))</f>
        <v>$D$3:$D$200</v>
      </c>
      <c r="Y200" s="14" t="str">
        <f ca="1">IF(KENKO[[#This Row],[//]]="","",HYPERLINK("[..\\DB.xlsx]DB!e"&amp;MATCH(KENKO[[#This Row],[concat]],[4]!db[NB NOTA_C],0)+1,"&gt;"))</f>
        <v>&gt;</v>
      </c>
    </row>
    <row r="201" spans="1:25" x14ac:dyDescent="0.25">
      <c r="A201" s="4"/>
      <c r="B201" s="6" t="str">
        <f>IF(KENKO[[#This Row],[N_ID]]="","",INDEX(Table1[ID],MATCH(KENKO[[#This Row],[N_ID]],Table1[N_ID],0)))</f>
        <v/>
      </c>
      <c r="C201" s="6" t="str">
        <f>IF(KENKO[[#This Row],[ID NOTA]]="","",HYPERLINK("[NOTA_.xlsx]NOTA!e"&amp;INDEX([6]!PAJAK[//],MATCH(KENKO[[#This Row],[ID NOTA]],[6]!PAJAK[ID],0)),"&gt;") )</f>
        <v/>
      </c>
      <c r="D201" s="6" t="str">
        <f>IF(KENKO[[#This Row],[ID NOTA]]="","",INDEX(Table1[QB],MATCH(KENKO[[#This Row],[ID NOTA]],Table1[ID],0)))</f>
        <v/>
      </c>
      <c r="E20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1" s="6" t="str">
        <f>IF(KENKO[[#This Row],[NO. NOTA]]="","",INDEX([5]KE!$A:$A,MATCH(KENKO[[#This Row],[NO. NOTA]],[5]KE!$D:$D,0)))</f>
        <v/>
      </c>
      <c r="G201" s="3" t="str">
        <f>IF(KENKO[[#This Row],[ID NOTA]]="","",INDEX([6]!NOTA[TGL_H],MATCH(KENKO[[#This Row],[ID NOTA]],[6]!NOTA[ID],0)))</f>
        <v/>
      </c>
      <c r="H201" s="3" t="str">
        <f>IF(KENKO[[#This Row],[ID NOTA]]="","",INDEX([6]!NOTA[TGL.NOTA],MATCH(KENKO[[#This Row],[ID NOTA]],[6]!NOTA[ID],0)))</f>
        <v/>
      </c>
      <c r="I201" s="19" t="str">
        <f>IF(KENKO[[#This Row],[ID NOTA]]="","",INDEX([6]!NOTA[NO.NOTA],MATCH(KENKO[[#This Row],[ID NOTA]],[6]!NOTA[ID],0)))</f>
        <v/>
      </c>
      <c r="J201" s="4" t="s">
        <v>136</v>
      </c>
      <c r="K201" s="6" t="str">
        <f>""</f>
        <v/>
      </c>
      <c r="L201" s="6" t="str">
        <f ca="1">IF(KENKO[//]="","",IF(INDEX([6]!NOTA[QTY],KENKO[//]-2)="",INDEX([6]!NOTA[C],KENKO[//]-2),INDEX([6]!NOTA[QTY],KENKO[//]-2)))</f>
        <v/>
      </c>
      <c r="M201" s="6" t="str">
        <f ca="1">IF(KENKO[//]="","",IF(INDEX([6]!NOTA[STN],KENKO[//]-2)="","CTN",INDEX([6]!NOTA[STN],KENKO[//]-2)))</f>
        <v/>
      </c>
      <c r="N201" s="5" t="str">
        <f ca="1">IF(KENKO[[#This Row],[//]]="","",IF(INDEX([6]!NOTA[HARGA/ CTN],KENKO[[#This Row],[//]]-2)="",INDEX([6]!NOTA[HARGA SATUAN],KENKO[//]-2),INDEX([6]!NOTA[HARGA/ CTN],KENKO[[#This Row],[//]]-2)))</f>
        <v/>
      </c>
      <c r="O201" s="8" t="str">
        <f ca="1">IF(KENKO[[#This Row],[//]]="","",INDEX([6]!NOTA[DISC 1],KENKO[[#This Row],[//]]-2))</f>
        <v/>
      </c>
      <c r="P201" s="8" t="str">
        <f ca="1">IF(KENKO[[#This Row],[//]]="","",INDEX([6]!NOTA[DISC 2],KENKO[[#This Row],[//]]-2))</f>
        <v/>
      </c>
      <c r="Q201" s="5" t="str">
        <f ca="1">IF(KENKO[[#This Row],[//]]="","",INDEX([6]!NOTA[JUMLAH],KENKO[[#This Row],[//]]-2)*(100%-IF(ISNUMBER(KENKO[[#This Row],[DISC 1 (%)]]),KENKO[[#This Row],[DISC 1 (%)]],0)))</f>
        <v/>
      </c>
      <c r="R2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4" t="str">
        <f ca="1">IF(KENKO[[#This Row],[//]]="","",INDEX([6]!NOTA[NAMA BARANG],KENKO[[#This Row],[//]]-2))</f>
        <v/>
      </c>
      <c r="V201" s="4" t="str">
        <f ca="1">LOWER(SUBSTITUTE(SUBSTITUTE(SUBSTITUTE(SUBSTITUTE(SUBSTITUTE(SUBSTITUTE(SUBSTITUTE(SUBSTITUTE(KENKO[[#This Row],[N.B.nota]]," ",""),"-",""),"(",""),")",""),".",""),",",""),"/",""),"""",""))</f>
        <v/>
      </c>
      <c r="W201" s="4" t="s">
        <v>136</v>
      </c>
      <c r="X201" s="4" t="str">
        <f ca="1">IF(KENKO[[#This Row],[N.B.nota]]="","",ADDRESS(ROW(KENKO[QB]),COLUMN(KENKO[QB]))&amp;":"&amp;ADDRESS(ROW(),COLUMN(KENKO[QB])))</f>
        <v/>
      </c>
      <c r="Y201" s="14" t="str">
        <f ca="1">IF(KENKO[[#This Row],[//]]="","",HYPERLINK("[..\\DB.xlsx]DB!e"&amp;MATCH(KENKO[[#This Row],[concat]],[4]!db[NB NOTA_C],0)+1,"&gt;"))</f>
        <v/>
      </c>
    </row>
    <row r="202" spans="1:25" x14ac:dyDescent="0.25">
      <c r="A202" s="4" t="s">
        <v>104</v>
      </c>
      <c r="B202" s="6">
        <f ca="1">IF(KENKO[[#This Row],[N_ID]]="","",INDEX(Table1[ID],MATCH(KENKO[[#This Row],[N_ID]],Table1[N_ID],0)))</f>
        <v>155</v>
      </c>
      <c r="C202" s="6" t="str">
        <f ca="1">IF(KENKO[[#This Row],[ID NOTA]]="","",HYPERLINK("[NOTA_.xlsx]NOTA!e"&amp;INDEX([6]!PAJAK[//],MATCH(KENKO[[#This Row],[ID NOTA]],[6]!PAJAK[ID],0)),"&gt;") )</f>
        <v>&gt;</v>
      </c>
      <c r="D202" s="6">
        <f ca="1">IF(KENKO[[#This Row],[ID NOTA]]="","",INDEX(Table1[QB],MATCH(KENKO[[#This Row],[ID NOTA]],Table1[ID],0)))</f>
        <v>3</v>
      </c>
      <c r="E20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793</v>
      </c>
      <c r="F202" s="6" t="e">
        <f ca="1">IF(KENKO[[#This Row],[NO. NOTA]]="","",INDEX([5]KE!$A:$A,MATCH(KENKO[[#This Row],[NO. NOTA]],[5]KE!$D:$D,0)))</f>
        <v>#N/A</v>
      </c>
      <c r="G202" s="3">
        <f ca="1">IF(KENKO[[#This Row],[ID NOTA]]="","",INDEX([6]!NOTA[TGL_H],MATCH(KENKO[[#This Row],[ID NOTA]],[6]!NOTA[ID],0)))</f>
        <v>44769</v>
      </c>
      <c r="H202" s="3">
        <f ca="1">IF(KENKO[[#This Row],[ID NOTA]]="","",INDEX([6]!NOTA[TGL.NOTA],MATCH(KENKO[[#This Row],[ID NOTA]],[6]!NOTA[ID],0)))</f>
        <v>44765</v>
      </c>
      <c r="I202" s="19" t="str">
        <f ca="1">IF(KENKO[[#This Row],[ID NOTA]]="","",INDEX([6]!NOTA[NO.NOTA],MATCH(KENKO[[#This Row],[ID NOTA]],[6]!NOTA[ID],0)))</f>
        <v>22072256</v>
      </c>
      <c r="J202" s="4" t="s">
        <v>246</v>
      </c>
      <c r="K202" s="6" t="str">
        <f>""</f>
        <v/>
      </c>
      <c r="L202" s="6">
        <f ca="1">IF(KENKO[//]="","",IF(INDEX([6]!NOTA[QTY],KENKO[//]-2)="",INDEX([6]!NOTA[C],KENKO[//]-2),INDEX([6]!NOTA[QTY],KENKO[//]-2)))</f>
        <v>1</v>
      </c>
      <c r="M202" s="6" t="str">
        <f ca="1">IF(KENKO[//]="","",IF(INDEX([6]!NOTA[STN],KENKO[//]-2)="","CTN",INDEX([6]!NOTA[STN],KENKO[//]-2)))</f>
        <v>CTN</v>
      </c>
      <c r="N202" s="5">
        <f ca="1">IF(KENKO[[#This Row],[//]]="","",IF(INDEX([6]!NOTA[HARGA/ CTN],KENKO[[#This Row],[//]]-2)="",INDEX([6]!NOTA[HARGA SATUAN],KENKO[//]-2),INDEX([6]!NOTA[HARGA/ CTN],KENKO[[#This Row],[//]]-2)))</f>
        <v>1954800</v>
      </c>
      <c r="O202" s="8">
        <f ca="1">IF(KENKO[[#This Row],[//]]="","",INDEX([6]!NOTA[DISC 1],KENKO[[#This Row],[//]]-2))</f>
        <v>0.17</v>
      </c>
      <c r="P202" s="8">
        <f ca="1">IF(KENKO[[#This Row],[//]]="","",INDEX([6]!NOTA[DISC 2],KENKO[[#This Row],[//]]-2))</f>
        <v>0</v>
      </c>
      <c r="Q202" s="5">
        <f ca="1">IF(KENKO[[#This Row],[//]]="","",INDEX([6]!NOTA[JUMLAH],KENKO[[#This Row],[//]]-2)*(100%-IF(ISNUMBER(KENKO[[#This Row],[DISC 1 (%)]]),KENKO[[#This Row],[DISC 1 (%)]],0)))</f>
        <v>1622484</v>
      </c>
      <c r="R2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4" t="str">
        <f ca="1">IF(KENKO[[#This Row],[//]]="","",INDEX([6]!NOTA[NAMA BARANG],KENKO[[#This Row],[//]]-2))</f>
        <v>KENKO CORRECTION FLUID BTK-01 BATIK</v>
      </c>
      <c r="V202" s="4" t="str">
        <f ca="1">LOWER(SUBSTITUTE(SUBSTITUTE(SUBSTITUTE(SUBSTITUTE(SUBSTITUTE(SUBSTITUTE(SUBSTITUTE(SUBSTITUTE(KENKO[[#This Row],[N.B.nota]]," ",""),"-",""),"(",""),")",""),".",""),",",""),"/",""),"""",""))</f>
        <v>kenkocorrectionfluidbtk01batik</v>
      </c>
      <c r="W202" s="4" t="s">
        <v>137</v>
      </c>
      <c r="X202" s="4" t="str">
        <f ca="1">IF(KENKO[[#This Row],[N.B.nota]]="","",ADDRESS(ROW(KENKO[QB]),COLUMN(KENKO[QB]))&amp;":"&amp;ADDRESS(ROW(),COLUMN(KENKO[QB])))</f>
        <v>$D$3:$D$202</v>
      </c>
      <c r="Y202" s="14" t="str">
        <f ca="1">IF(KENKO[[#This Row],[//]]="","",HYPERLINK("[..\\DB.xlsx]DB!e"&amp;MATCH(KENKO[[#This Row],[concat]],[4]!db[NB NOTA_C],0)+1,"&gt;"))</f>
        <v>&gt;</v>
      </c>
    </row>
    <row r="203" spans="1:25" x14ac:dyDescent="0.25">
      <c r="A203" s="4"/>
      <c r="B203" s="6" t="str">
        <f>IF(KENKO[[#This Row],[N_ID]]="","",INDEX(Table1[ID],MATCH(KENKO[[#This Row],[N_ID]],Table1[N_ID],0)))</f>
        <v/>
      </c>
      <c r="C203" s="6" t="str">
        <f>IF(KENKO[[#This Row],[ID NOTA]]="","",HYPERLINK("[NOTA_.xlsx]NOTA!e"&amp;INDEX([6]!PAJAK[//],MATCH(KENKO[[#This Row],[ID NOTA]],[6]!PAJAK[ID],0)),"&gt;") )</f>
        <v/>
      </c>
      <c r="D203" s="6" t="str">
        <f>IF(KENKO[[#This Row],[ID NOTA]]="","",INDEX(Table1[QB],MATCH(KENKO[[#This Row],[ID NOTA]],Table1[ID],0)))</f>
        <v/>
      </c>
      <c r="E20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794</v>
      </c>
      <c r="F203" s="6" t="str">
        <f>IF(KENKO[[#This Row],[NO. NOTA]]="","",INDEX([5]KE!$A:$A,MATCH(KENKO[[#This Row],[NO. NOTA]],[5]KE!$D:$D,0)))</f>
        <v/>
      </c>
      <c r="G203" s="3" t="str">
        <f>IF(KENKO[[#This Row],[ID NOTA]]="","",INDEX([6]!NOTA[TGL_H],MATCH(KENKO[[#This Row],[ID NOTA]],[6]!NOTA[ID],0)))</f>
        <v/>
      </c>
      <c r="H203" s="3" t="str">
        <f>IF(KENKO[[#This Row],[ID NOTA]]="","",INDEX([6]!NOTA[TGL.NOTA],MATCH(KENKO[[#This Row],[ID NOTA]],[6]!NOTA[ID],0)))</f>
        <v/>
      </c>
      <c r="I203" s="19" t="str">
        <f>IF(KENKO[[#This Row],[ID NOTA]]="","",INDEX([6]!NOTA[NO.NOTA],MATCH(KENKO[[#This Row],[ID NOTA]],[6]!NOTA[ID],0)))</f>
        <v/>
      </c>
      <c r="J203" s="4" t="s">
        <v>167</v>
      </c>
      <c r="K203" s="6" t="str">
        <f>""</f>
        <v/>
      </c>
      <c r="L203" s="6">
        <f ca="1">IF(KENKO[//]="","",IF(INDEX([6]!NOTA[QTY],KENKO[//]-2)="",INDEX([6]!NOTA[C],KENKO[//]-2),INDEX([6]!NOTA[QTY],KENKO[//]-2)))</f>
        <v>5</v>
      </c>
      <c r="M203" s="6" t="str">
        <f ca="1">IF(KENKO[//]="","",IF(INDEX([6]!NOTA[STN],KENKO[//]-2)="","CTN",INDEX([6]!NOTA[STN],KENKO[//]-2)))</f>
        <v>CTN</v>
      </c>
      <c r="N203" s="5">
        <f ca="1">IF(KENKO[[#This Row],[//]]="","",IF(INDEX([6]!NOTA[HARGA/ CTN],KENKO[[#This Row],[//]]-2)="",INDEX([6]!NOTA[HARGA SATUAN],KENKO[//]-2),INDEX([6]!NOTA[HARGA/ CTN],KENKO[[#This Row],[//]]-2)))</f>
        <v>1954800</v>
      </c>
      <c r="O203" s="8">
        <f ca="1">IF(KENKO[[#This Row],[//]]="","",INDEX([6]!NOTA[DISC 1],KENKO[[#This Row],[//]]-2))</f>
        <v>0.17</v>
      </c>
      <c r="P203" s="8">
        <f ca="1">IF(KENKO[[#This Row],[//]]="","",INDEX([6]!NOTA[DISC 2],KENKO[[#This Row],[//]]-2))</f>
        <v>0</v>
      </c>
      <c r="Q203" s="5">
        <f ca="1">IF(KENKO[[#This Row],[//]]="","",INDEX([6]!NOTA[JUMLAH],KENKO[[#This Row],[//]]-2)*(100%-IF(ISNUMBER(KENKO[[#This Row],[DISC 1 (%)]]),KENKO[[#This Row],[DISC 1 (%)]],0)))</f>
        <v>8112420</v>
      </c>
      <c r="R2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4" t="str">
        <f ca="1">IF(KENKO[[#This Row],[//]]="","",INDEX([6]!NOTA[NAMA BARANG],KENKO[[#This Row],[//]]-2))</f>
        <v>KENKO CORRECTION FLUID KE-01</v>
      </c>
      <c r="V203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03" s="4" t="s">
        <v>137</v>
      </c>
      <c r="X203" s="4" t="str">
        <f ca="1">IF(KENKO[[#This Row],[N.B.nota]]="","",ADDRESS(ROW(KENKO[QB]),COLUMN(KENKO[QB]))&amp;":"&amp;ADDRESS(ROW(),COLUMN(KENKO[QB])))</f>
        <v>$D$3:$D$203</v>
      </c>
      <c r="Y203" s="14" t="str">
        <f ca="1">IF(KENKO[[#This Row],[//]]="","",HYPERLINK("[..\\DB.xlsx]DB!e"&amp;MATCH(KENKO[[#This Row],[concat]],[4]!db[NB NOTA_C],0)+1,"&gt;"))</f>
        <v>&gt;</v>
      </c>
    </row>
    <row r="204" spans="1:25" x14ac:dyDescent="0.25">
      <c r="A204" s="4"/>
      <c r="B204" s="6" t="str">
        <f>IF(KENKO[[#This Row],[N_ID]]="","",INDEX(Table1[ID],MATCH(KENKO[[#This Row],[N_ID]],Table1[N_ID],0)))</f>
        <v/>
      </c>
      <c r="C204" s="6" t="str">
        <f>IF(KENKO[[#This Row],[ID NOTA]]="","",HYPERLINK("[NOTA_.xlsx]NOTA!e"&amp;INDEX([6]!PAJAK[//],MATCH(KENKO[[#This Row],[ID NOTA]],[6]!PAJAK[ID],0)),"&gt;") )</f>
        <v/>
      </c>
      <c r="D204" s="6" t="str">
        <f>IF(KENKO[[#This Row],[ID NOTA]]="","",INDEX(Table1[QB],MATCH(KENKO[[#This Row],[ID NOTA]],Table1[ID],0)))</f>
        <v/>
      </c>
      <c r="E20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795</v>
      </c>
      <c r="F204" s="6" t="str">
        <f>IF(KENKO[[#This Row],[NO. NOTA]]="","",INDEX([5]KE!$A:$A,MATCH(KENKO[[#This Row],[NO. NOTA]],[5]KE!$D:$D,0)))</f>
        <v/>
      </c>
      <c r="G204" s="3" t="str">
        <f>IF(KENKO[[#This Row],[ID NOTA]]="","",INDEX([6]!NOTA[TGL_H],MATCH(KENKO[[#This Row],[ID NOTA]],[6]!NOTA[ID],0)))</f>
        <v/>
      </c>
      <c r="H204" s="3" t="str">
        <f>IF(KENKO[[#This Row],[ID NOTA]]="","",INDEX([6]!NOTA[TGL.NOTA],MATCH(KENKO[[#This Row],[ID NOTA]],[6]!NOTA[ID],0)))</f>
        <v/>
      </c>
      <c r="I204" s="19" t="str">
        <f>IF(KENKO[[#This Row],[ID NOTA]]="","",INDEX([6]!NOTA[NO.NOTA],MATCH(KENKO[[#This Row],[ID NOTA]],[6]!NOTA[ID],0)))</f>
        <v/>
      </c>
      <c r="J204" s="4" t="s">
        <v>214</v>
      </c>
      <c r="K204" s="6" t="str">
        <f>""</f>
        <v/>
      </c>
      <c r="L204" s="6">
        <f ca="1">IF(KENKO[//]="","",IF(INDEX([6]!NOTA[QTY],KENKO[//]-2)="",INDEX([6]!NOTA[C],KENKO[//]-2),INDEX([6]!NOTA[QTY],KENKO[//]-2)))</f>
        <v>10</v>
      </c>
      <c r="M204" s="6" t="str">
        <f ca="1">IF(KENKO[//]="","",IF(INDEX([6]!NOTA[STN],KENKO[//]-2)="","CTN",INDEX([6]!NOTA[STN],KENKO[//]-2)))</f>
        <v>CTN</v>
      </c>
      <c r="N204" s="5">
        <f ca="1">IF(KENKO[[#This Row],[//]]="","",IF(INDEX([6]!NOTA[HARGA/ CTN],KENKO[[#This Row],[//]]-2)="",INDEX([6]!NOTA[HARGA SATUAN],KENKO[//]-2),INDEX([6]!NOTA[HARGA/ CTN],KENKO[[#This Row],[//]]-2)))</f>
        <v>504000</v>
      </c>
      <c r="O204" s="8">
        <f ca="1">IF(KENKO[[#This Row],[//]]="","",INDEX([6]!NOTA[DISC 1],KENKO[[#This Row],[//]]-2))</f>
        <v>0.17</v>
      </c>
      <c r="P204" s="8">
        <f ca="1">IF(KENKO[[#This Row],[//]]="","",INDEX([6]!NOTA[DISC 2],KENKO[[#This Row],[//]]-2))</f>
        <v>0</v>
      </c>
      <c r="Q204" s="5">
        <f ca="1">IF(KENKO[[#This Row],[//]]="","",INDEX([6]!NOTA[JUMLAH],KENKO[[#This Row],[//]]-2)*(100%-IF(ISNUMBER(KENKO[[#This Row],[DISC 1 (%)]]),KENKO[[#This Row],[DISC 1 (%)]],0)))</f>
        <v>4183200</v>
      </c>
      <c r="R20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2850696.0000000005</v>
      </c>
      <c r="S20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13918104</v>
      </c>
      <c r="T20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4" t="str">
        <f ca="1">IF(KENKO[[#This Row],[//]]="","",INDEX([6]!NOTA[NAMA BARANG],KENKO[[#This Row],[//]]-2))</f>
        <v>KENKO LIQUID GLUE LG-50 (50ML)</v>
      </c>
      <c r="V204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204" s="4" t="s">
        <v>137</v>
      </c>
      <c r="X204" s="4" t="str">
        <f ca="1">IF(KENKO[[#This Row],[N.B.nota]]="","",ADDRESS(ROW(KENKO[QB]),COLUMN(KENKO[QB]))&amp;":"&amp;ADDRESS(ROW(),COLUMN(KENKO[QB])))</f>
        <v>$D$3:$D$204</v>
      </c>
      <c r="Y204" s="14" t="str">
        <f ca="1">IF(KENKO[[#This Row],[//]]="","",HYPERLINK("[..\\DB.xlsx]DB!e"&amp;MATCH(KENKO[[#This Row],[concat]],[4]!db[NB NOTA_C],0)+1,"&gt;"))</f>
        <v>&gt;</v>
      </c>
    </row>
    <row r="205" spans="1:25" x14ac:dyDescent="0.25">
      <c r="A205" s="4"/>
      <c r="B205" s="6" t="str">
        <f>IF(KENKO[[#This Row],[N_ID]]="","",INDEX(Table1[ID],MATCH(KENKO[[#This Row],[N_ID]],Table1[N_ID],0)))</f>
        <v/>
      </c>
      <c r="C205" s="6" t="str">
        <f>IF(KENKO[[#This Row],[ID NOTA]]="","",HYPERLINK("[NOTA_.xlsx]NOTA!e"&amp;INDEX([6]!PAJAK[//],MATCH(KENKO[[#This Row],[ID NOTA]],[6]!PAJAK[ID],0)),"&gt;") )</f>
        <v/>
      </c>
      <c r="D205" s="6" t="str">
        <f>IF(KENKO[[#This Row],[ID NOTA]]="","",INDEX(Table1[QB],MATCH(KENKO[[#This Row],[ID NOTA]],Table1[ID],0)))</f>
        <v/>
      </c>
      <c r="E20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5" s="6" t="str">
        <f>IF(KENKO[[#This Row],[NO. NOTA]]="","",INDEX([5]KE!$A:$A,MATCH(KENKO[[#This Row],[NO. NOTA]],[5]KE!$D:$D,0)))</f>
        <v/>
      </c>
      <c r="G205" s="3" t="str">
        <f>IF(KENKO[[#This Row],[ID NOTA]]="","",INDEX([6]!NOTA[TGL_H],MATCH(KENKO[[#This Row],[ID NOTA]],[6]!NOTA[ID],0)))</f>
        <v/>
      </c>
      <c r="H205" s="3" t="str">
        <f>IF(KENKO[[#This Row],[ID NOTA]]="","",INDEX([6]!NOTA[TGL.NOTA],MATCH(KENKO[[#This Row],[ID NOTA]],[6]!NOTA[ID],0)))</f>
        <v/>
      </c>
      <c r="I205" s="19" t="str">
        <f>IF(KENKO[[#This Row],[ID NOTA]]="","",INDEX([6]!NOTA[NO.NOTA],MATCH(KENKO[[#This Row],[ID NOTA]],[6]!NOTA[ID],0)))</f>
        <v/>
      </c>
      <c r="J205" s="4" t="s">
        <v>136</v>
      </c>
      <c r="K205" s="6" t="str">
        <f>""</f>
        <v/>
      </c>
      <c r="L205" s="6" t="str">
        <f ca="1">IF(KENKO[//]="","",IF(INDEX([6]!NOTA[QTY],KENKO[//]-2)="",INDEX([6]!NOTA[C],KENKO[//]-2),INDEX([6]!NOTA[QTY],KENKO[//]-2)))</f>
        <v/>
      </c>
      <c r="M205" s="6" t="str">
        <f ca="1">IF(KENKO[//]="","",IF(INDEX([6]!NOTA[STN],KENKO[//]-2)="","CTN",INDEX([6]!NOTA[STN],KENKO[//]-2)))</f>
        <v/>
      </c>
      <c r="N205" s="5" t="str">
        <f ca="1">IF(KENKO[[#This Row],[//]]="","",IF(INDEX([6]!NOTA[HARGA/ CTN],KENKO[[#This Row],[//]]-2)="",INDEX([6]!NOTA[HARGA SATUAN],KENKO[//]-2),INDEX([6]!NOTA[HARGA/ CTN],KENKO[[#This Row],[//]]-2)))</f>
        <v/>
      </c>
      <c r="O205" s="8" t="str">
        <f ca="1">IF(KENKO[[#This Row],[//]]="","",INDEX([6]!NOTA[DISC 1],KENKO[[#This Row],[//]]-2))</f>
        <v/>
      </c>
      <c r="P205" s="8" t="str">
        <f ca="1">IF(KENKO[[#This Row],[//]]="","",INDEX([6]!NOTA[DISC 2],KENKO[[#This Row],[//]]-2))</f>
        <v/>
      </c>
      <c r="Q205" s="5" t="str">
        <f ca="1">IF(KENKO[[#This Row],[//]]="","",INDEX([6]!NOTA[JUMLAH],KENKO[[#This Row],[//]]-2)*(100%-IF(ISNUMBER(KENKO[[#This Row],[DISC 1 (%)]]),KENKO[[#This Row],[DISC 1 (%)]],0)))</f>
        <v/>
      </c>
      <c r="R2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4" t="str">
        <f ca="1">IF(KENKO[[#This Row],[//]]="","",INDEX([6]!NOTA[NAMA BARANG],KENKO[[#This Row],[//]]-2))</f>
        <v/>
      </c>
      <c r="V205" s="4" t="str">
        <f ca="1">LOWER(SUBSTITUTE(SUBSTITUTE(SUBSTITUTE(SUBSTITUTE(SUBSTITUTE(SUBSTITUTE(SUBSTITUTE(SUBSTITUTE(KENKO[[#This Row],[N.B.nota]]," ",""),"-",""),"(",""),")",""),".",""),",",""),"/",""),"""",""))</f>
        <v/>
      </c>
      <c r="W205" s="4" t="s">
        <v>136</v>
      </c>
      <c r="X205" s="4" t="str">
        <f ca="1">IF(KENKO[[#This Row],[N.B.nota]]="","",ADDRESS(ROW(KENKO[QB]),COLUMN(KENKO[QB]))&amp;":"&amp;ADDRESS(ROW(),COLUMN(KENKO[QB])))</f>
        <v/>
      </c>
      <c r="Y205" s="14" t="str">
        <f ca="1">IF(KENKO[[#This Row],[//]]="","",HYPERLINK("[..\\DB.xlsx]DB!e"&amp;MATCH(KENKO[[#This Row],[concat]],[4]!db[NB NOTA_C],0)+1,"&gt;"))</f>
        <v/>
      </c>
    </row>
    <row r="206" spans="1:25" x14ac:dyDescent="0.25">
      <c r="A206" s="4" t="s">
        <v>109</v>
      </c>
      <c r="B206" s="6">
        <f ca="1">IF(KENKO[[#This Row],[N_ID]]="","",INDEX(Table1[ID],MATCH(KENKO[[#This Row],[N_ID]],Table1[N_ID],0)))</f>
        <v>157</v>
      </c>
      <c r="C206" s="6" t="str">
        <f ca="1">IF(KENKO[[#This Row],[ID NOTA]]="","",HYPERLINK("[NOTA_.xlsx]NOTA!e"&amp;INDEX([6]!PAJAK[//],MATCH(KENKO[[#This Row],[ID NOTA]],[6]!PAJAK[ID],0)),"&gt;") )</f>
        <v>&gt;</v>
      </c>
      <c r="D206" s="6">
        <f ca="1">IF(KENKO[[#This Row],[ID NOTA]]="","",INDEX(Table1[QB],MATCH(KENKO[[#This Row],[ID NOTA]],Table1[ID],0)))</f>
        <v>7</v>
      </c>
      <c r="E20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802</v>
      </c>
      <c r="F206" s="6" t="e">
        <f ca="1">IF(KENKO[[#This Row],[NO. NOTA]]="","",INDEX([5]KE!$A:$A,MATCH(KENKO[[#This Row],[NO. NOTA]],[5]KE!$D:$D,0)))</f>
        <v>#N/A</v>
      </c>
      <c r="G206" s="3">
        <f ca="1">IF(KENKO[[#This Row],[ID NOTA]]="","",INDEX([6]!NOTA[TGL_H],MATCH(KENKO[[#This Row],[ID NOTA]],[6]!NOTA[ID],0)))</f>
        <v>44769</v>
      </c>
      <c r="H206" s="3">
        <f ca="1">IF(KENKO[[#This Row],[ID NOTA]]="","",INDEX([6]!NOTA[TGL.NOTA],MATCH(KENKO[[#This Row],[ID NOTA]],[6]!NOTA[ID],0)))</f>
        <v>44767</v>
      </c>
      <c r="I206" s="19" t="str">
        <f ca="1">IF(KENKO[[#This Row],[ID NOTA]]="","",INDEX([6]!NOTA[NO.NOTA],MATCH(KENKO[[#This Row],[ID NOTA]],[6]!NOTA[ID],0)))</f>
        <v>22072347</v>
      </c>
      <c r="J206" s="4" t="s">
        <v>167</v>
      </c>
      <c r="K206" s="6" t="str">
        <f>""</f>
        <v/>
      </c>
      <c r="L206" s="6">
        <f ca="1">IF(KENKO[//]="","",IF(INDEX([6]!NOTA[QTY],KENKO[//]-2)="",INDEX([6]!NOTA[C],KENKO[//]-2),INDEX([6]!NOTA[QTY],KENKO[//]-2)))</f>
        <v>5</v>
      </c>
      <c r="M206" s="6" t="str">
        <f ca="1">IF(KENKO[//]="","",IF(INDEX([6]!NOTA[STN],KENKO[//]-2)="","CTN",INDEX([6]!NOTA[STN],KENKO[//]-2)))</f>
        <v>CTN</v>
      </c>
      <c r="N206" s="5">
        <f ca="1">IF(KENKO[[#This Row],[//]]="","",IF(INDEX([6]!NOTA[HARGA/ CTN],KENKO[[#This Row],[//]]-2)="",INDEX([6]!NOTA[HARGA SATUAN],KENKO[//]-2),INDEX([6]!NOTA[HARGA/ CTN],KENKO[[#This Row],[//]]-2)))</f>
        <v>1954800</v>
      </c>
      <c r="O206" s="8">
        <f ca="1">IF(KENKO[[#This Row],[//]]="","",INDEX([6]!NOTA[DISC 1],KENKO[[#This Row],[//]]-2))</f>
        <v>0.17</v>
      </c>
      <c r="P206" s="8">
        <f ca="1">IF(KENKO[[#This Row],[//]]="","",INDEX([6]!NOTA[DISC 2],KENKO[[#This Row],[//]]-2))</f>
        <v>0</v>
      </c>
      <c r="Q206" s="5">
        <f ca="1">IF(KENKO[[#This Row],[//]]="","",INDEX([6]!NOTA[JUMLAH],KENKO[[#This Row],[//]]-2)*(100%-IF(ISNUMBER(KENKO[[#This Row],[DISC 1 (%)]]),KENKO[[#This Row],[DISC 1 (%)]],0)))</f>
        <v>8112420</v>
      </c>
      <c r="R2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4" t="str">
        <f ca="1">IF(KENKO[[#This Row],[//]]="","",INDEX([6]!NOTA[NAMA BARANG],KENKO[[#This Row],[//]]-2))</f>
        <v>KENKO CORRECTION FLUID KE-01</v>
      </c>
      <c r="V20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06" s="4" t="s">
        <v>137</v>
      </c>
      <c r="X206" s="4" t="str">
        <f ca="1">IF(KENKO[[#This Row],[N.B.nota]]="","",ADDRESS(ROW(KENKO[QB]),COLUMN(KENKO[QB]))&amp;":"&amp;ADDRESS(ROW(),COLUMN(KENKO[QB])))</f>
        <v>$D$3:$D$206</v>
      </c>
      <c r="Y206" s="14" t="str">
        <f ca="1">IF(KENKO[[#This Row],[//]]="","",HYPERLINK("[..\\DB.xlsx]DB!e"&amp;MATCH(KENKO[[#This Row],[concat]],[4]!db[NB NOTA_C],0)+1,"&gt;"))</f>
        <v>&gt;</v>
      </c>
    </row>
    <row r="207" spans="1:25" x14ac:dyDescent="0.25">
      <c r="A207" s="4"/>
      <c r="B207" s="6" t="str">
        <f>IF(KENKO[[#This Row],[N_ID]]="","",INDEX(Table1[ID],MATCH(KENKO[[#This Row],[N_ID]],Table1[N_ID],0)))</f>
        <v/>
      </c>
      <c r="C207" s="6" t="str">
        <f>IF(KENKO[[#This Row],[ID NOTA]]="","",HYPERLINK("[NOTA_.xlsx]NOTA!e"&amp;INDEX([6]!PAJAK[//],MATCH(KENKO[[#This Row],[ID NOTA]],[6]!PAJAK[ID],0)),"&gt;") )</f>
        <v/>
      </c>
      <c r="D207" s="6" t="str">
        <f>IF(KENKO[[#This Row],[ID NOTA]]="","",INDEX(Table1[QB],MATCH(KENKO[[#This Row],[ID NOTA]],Table1[ID],0)))</f>
        <v/>
      </c>
      <c r="E20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803</v>
      </c>
      <c r="F207" s="6" t="str">
        <f>IF(KENKO[[#This Row],[NO. NOTA]]="","",INDEX([5]KE!$A:$A,MATCH(KENKO[[#This Row],[NO. NOTA]],[5]KE!$D:$D,0)))</f>
        <v/>
      </c>
      <c r="G207" s="3" t="str">
        <f>IF(KENKO[[#This Row],[ID NOTA]]="","",INDEX([6]!NOTA[TGL_H],MATCH(KENKO[[#This Row],[ID NOTA]],[6]!NOTA[ID],0)))</f>
        <v/>
      </c>
      <c r="H207" s="3" t="str">
        <f>IF(KENKO[[#This Row],[ID NOTA]]="","",INDEX([6]!NOTA[TGL.NOTA],MATCH(KENKO[[#This Row],[ID NOTA]],[6]!NOTA[ID],0)))</f>
        <v/>
      </c>
      <c r="I207" s="19" t="str">
        <f>IF(KENKO[[#This Row],[ID NOTA]]="","",INDEX([6]!NOTA[NO.NOTA],MATCH(KENKO[[#This Row],[ID NOTA]],[6]!NOTA[ID],0)))</f>
        <v/>
      </c>
      <c r="J207" s="4" t="s">
        <v>172</v>
      </c>
      <c r="K207" s="6" t="str">
        <f>""</f>
        <v/>
      </c>
      <c r="L207" s="6">
        <f ca="1">IF(KENKO[//]="","",IF(INDEX([6]!NOTA[QTY],KENKO[//]-2)="",INDEX([6]!NOTA[C],KENKO[//]-2),INDEX([6]!NOTA[QTY],KENKO[//]-2)))</f>
        <v>4</v>
      </c>
      <c r="M207" s="6" t="str">
        <f ca="1">IF(KENKO[//]="","",IF(INDEX([6]!NOTA[STN],KENKO[//]-2)="","CTN",INDEX([6]!NOTA[STN],KENKO[//]-2)))</f>
        <v>CTN</v>
      </c>
      <c r="N207" s="5">
        <f ca="1">IF(KENKO[[#This Row],[//]]="","",IF(INDEX([6]!NOTA[HARGA/ CTN],KENKO[[#This Row],[//]]-2)="",INDEX([6]!NOTA[HARGA SATUAN],KENKO[//]-2),INDEX([6]!NOTA[HARGA/ CTN],KENKO[[#This Row],[//]]-2)))</f>
        <v>2952000</v>
      </c>
      <c r="O207" s="8">
        <f ca="1">IF(KENKO[[#This Row],[//]]="","",INDEX([6]!NOTA[DISC 1],KENKO[[#This Row],[//]]-2))</f>
        <v>0.17</v>
      </c>
      <c r="P207" s="8">
        <f ca="1">IF(KENKO[[#This Row],[//]]="","",INDEX([6]!NOTA[DISC 2],KENKO[[#This Row],[//]]-2))</f>
        <v>0</v>
      </c>
      <c r="Q207" s="5">
        <f ca="1">IF(KENKO[[#This Row],[//]]="","",INDEX([6]!NOTA[JUMLAH],KENKO[[#This Row],[//]]-2)*(100%-IF(ISNUMBER(KENKO[[#This Row],[DISC 1 (%)]]),KENKO[[#This Row],[DISC 1 (%)]],0)))</f>
        <v>9800640</v>
      </c>
      <c r="R20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4" t="str">
        <f ca="1">IF(KENKO[[#This Row],[//]]="","",INDEX([6]!NOTA[NAMA BARANG],KENKO[[#This Row],[//]]-2))</f>
        <v>KENKO CUTTER L-500 (18MM BLADE)</v>
      </c>
      <c r="V207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07" s="4" t="s">
        <v>137</v>
      </c>
      <c r="X207" s="4" t="str">
        <f ca="1">IF(KENKO[[#This Row],[N.B.nota]]="","",ADDRESS(ROW(KENKO[QB]),COLUMN(KENKO[QB]))&amp;":"&amp;ADDRESS(ROW(),COLUMN(KENKO[QB])))</f>
        <v>$D$3:$D$207</v>
      </c>
      <c r="Y207" s="14" t="str">
        <f ca="1">IF(KENKO[[#This Row],[//]]="","",HYPERLINK("[..\\DB.xlsx]DB!e"&amp;MATCH(KENKO[[#This Row],[concat]],[4]!db[NB NOTA_C],0)+1,"&gt;"))</f>
        <v>&gt;</v>
      </c>
    </row>
    <row r="208" spans="1:25" x14ac:dyDescent="0.25">
      <c r="A208" s="4"/>
      <c r="B208" s="6" t="str">
        <f>IF(KENKO[[#This Row],[N_ID]]="","",INDEX(Table1[ID],MATCH(KENKO[[#This Row],[N_ID]],Table1[N_ID],0)))</f>
        <v/>
      </c>
      <c r="C208" s="6" t="str">
        <f>IF(KENKO[[#This Row],[ID NOTA]]="","",HYPERLINK("[NOTA_.xlsx]NOTA!e"&amp;INDEX([6]!PAJAK[//],MATCH(KENKO[[#This Row],[ID NOTA]],[6]!PAJAK[ID],0)),"&gt;") )</f>
        <v/>
      </c>
      <c r="D208" s="6" t="str">
        <f>IF(KENKO[[#This Row],[ID NOTA]]="","",INDEX(Table1[QB],MATCH(KENKO[[#This Row],[ID NOTA]],Table1[ID],0)))</f>
        <v/>
      </c>
      <c r="E20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804</v>
      </c>
      <c r="F208" s="6" t="str">
        <f>IF(KENKO[[#This Row],[NO. NOTA]]="","",INDEX([5]KE!$A:$A,MATCH(KENKO[[#This Row],[NO. NOTA]],[5]KE!$D:$D,0)))</f>
        <v/>
      </c>
      <c r="G208" s="3" t="str">
        <f>IF(KENKO[[#This Row],[ID NOTA]]="","",INDEX([6]!NOTA[TGL_H],MATCH(KENKO[[#This Row],[ID NOTA]],[6]!NOTA[ID],0)))</f>
        <v/>
      </c>
      <c r="H208" s="3" t="str">
        <f>IF(KENKO[[#This Row],[ID NOTA]]="","",INDEX([6]!NOTA[TGL.NOTA],MATCH(KENKO[[#This Row],[ID NOTA]],[6]!NOTA[ID],0)))</f>
        <v/>
      </c>
      <c r="I208" s="19" t="str">
        <f>IF(KENKO[[#This Row],[ID NOTA]]="","",INDEX([6]!NOTA[NO.NOTA],MATCH(KENKO[[#This Row],[ID NOTA]],[6]!NOTA[ID],0)))</f>
        <v/>
      </c>
      <c r="J208" s="4" t="s">
        <v>210</v>
      </c>
      <c r="K208" s="6" t="str">
        <f>""</f>
        <v/>
      </c>
      <c r="L208" s="6">
        <f ca="1">IF(KENKO[//]="","",IF(INDEX([6]!NOTA[QTY],KENKO[//]-2)="",INDEX([6]!NOTA[C],KENKO[//]-2),INDEX([6]!NOTA[QTY],KENKO[//]-2)))</f>
        <v>5</v>
      </c>
      <c r="M208" s="6" t="str">
        <f ca="1">IF(KENKO[//]="","",IF(INDEX([6]!NOTA[STN],KENKO[//]-2)="","CTN",INDEX([6]!NOTA[STN],KENKO[//]-2)))</f>
        <v>CTN</v>
      </c>
      <c r="N208" s="5">
        <f ca="1">IF(KENKO[[#This Row],[//]]="","",IF(INDEX([6]!NOTA[HARGA/ CTN],KENKO[[#This Row],[//]]-2)="",INDEX([6]!NOTA[HARGA SATUAN],KENKO[//]-2),INDEX([6]!NOTA[HARGA/ CTN],KENKO[[#This Row],[//]]-2)))</f>
        <v>2256000</v>
      </c>
      <c r="O208" s="8">
        <f ca="1">IF(KENKO[[#This Row],[//]]="","",INDEX([6]!NOTA[DISC 1],KENKO[[#This Row],[//]]-2))</f>
        <v>0.17</v>
      </c>
      <c r="P208" s="8">
        <f ca="1">IF(KENKO[[#This Row],[//]]="","",INDEX([6]!NOTA[DISC 2],KENKO[[#This Row],[//]]-2))</f>
        <v>0</v>
      </c>
      <c r="Q208" s="5">
        <f ca="1">IF(KENKO[[#This Row],[//]]="","",INDEX([6]!NOTA[JUMLAH],KENKO[[#This Row],[//]]-2)*(100%-IF(ISNUMBER(KENKO[[#This Row],[DISC 1 (%)]]),KENKO[[#This Row],[DISC 1 (%)]],0)))</f>
        <v>9362400</v>
      </c>
      <c r="R2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4" t="str">
        <f ca="1">IF(KENKO[[#This Row],[//]]="","",INDEX([6]!NOTA[NAMA BARANG],KENKO[[#This Row],[//]]-2))</f>
        <v>KENKO PENCIL 2B-6388 ZOO N ZOO</v>
      </c>
      <c r="V208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208" s="4" t="s">
        <v>137</v>
      </c>
      <c r="X208" s="4" t="str">
        <f ca="1">IF(KENKO[[#This Row],[N.B.nota]]="","",ADDRESS(ROW(KENKO[QB]),COLUMN(KENKO[QB]))&amp;":"&amp;ADDRESS(ROW(),COLUMN(KENKO[QB])))</f>
        <v>$D$3:$D$208</v>
      </c>
      <c r="Y208" s="14" t="str">
        <f ca="1">IF(KENKO[[#This Row],[//]]="","",HYPERLINK("[..\\DB.xlsx]DB!e"&amp;MATCH(KENKO[[#This Row],[concat]],[4]!db[NB NOTA_C],0)+1,"&gt;"))</f>
        <v>&gt;</v>
      </c>
    </row>
    <row r="209" spans="1:25" x14ac:dyDescent="0.25">
      <c r="A209" s="4"/>
      <c r="B209" s="6" t="str">
        <f>IF(KENKO[[#This Row],[N_ID]]="","",INDEX(Table1[ID],MATCH(KENKO[[#This Row],[N_ID]],Table1[N_ID],0)))</f>
        <v/>
      </c>
      <c r="C209" s="6" t="str">
        <f>IF(KENKO[[#This Row],[ID NOTA]]="","",HYPERLINK("[NOTA_.xlsx]NOTA!e"&amp;INDEX([6]!PAJAK[//],MATCH(KENKO[[#This Row],[ID NOTA]],[6]!PAJAK[ID],0)),"&gt;") )</f>
        <v/>
      </c>
      <c r="D209" s="6" t="str">
        <f>IF(KENKO[[#This Row],[ID NOTA]]="","",INDEX(Table1[QB],MATCH(KENKO[[#This Row],[ID NOTA]],Table1[ID],0)))</f>
        <v/>
      </c>
      <c r="E20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805</v>
      </c>
      <c r="F209" s="6" t="str">
        <f>IF(KENKO[[#This Row],[NO. NOTA]]="","",INDEX([5]KE!$A:$A,MATCH(KENKO[[#This Row],[NO. NOTA]],[5]KE!$D:$D,0)))</f>
        <v/>
      </c>
      <c r="G209" s="3" t="str">
        <f>IF(KENKO[[#This Row],[ID NOTA]]="","",INDEX([6]!NOTA[TGL_H],MATCH(KENKO[[#This Row],[ID NOTA]],[6]!NOTA[ID],0)))</f>
        <v/>
      </c>
      <c r="H209" s="3" t="str">
        <f>IF(KENKO[[#This Row],[ID NOTA]]="","",INDEX([6]!NOTA[TGL.NOTA],MATCH(KENKO[[#This Row],[ID NOTA]],[6]!NOTA[ID],0)))</f>
        <v/>
      </c>
      <c r="I209" s="19" t="str">
        <f>IF(KENKO[[#This Row],[ID NOTA]]="","",INDEX([6]!NOTA[NO.NOTA],MATCH(KENKO[[#This Row],[ID NOTA]],[6]!NOTA[ID],0)))</f>
        <v/>
      </c>
      <c r="J209" s="4" t="s">
        <v>242</v>
      </c>
      <c r="K209" s="6" t="str">
        <f>""</f>
        <v/>
      </c>
      <c r="L209" s="6">
        <f ca="1">IF(KENKO[//]="","",IF(INDEX([6]!NOTA[QTY],KENKO[//]-2)="",INDEX([6]!NOTA[C],KENKO[//]-2),INDEX([6]!NOTA[QTY],KENKO[//]-2)))</f>
        <v>2</v>
      </c>
      <c r="M209" s="6" t="str">
        <f ca="1">IF(KENKO[//]="","",IF(INDEX([6]!NOTA[STN],KENKO[//]-2)="","CTN",INDEX([6]!NOTA[STN],KENKO[//]-2)))</f>
        <v>CTN</v>
      </c>
      <c r="N209" s="5">
        <f ca="1">IF(KENKO[[#This Row],[//]]="","",IF(INDEX([6]!NOTA[HARGA/ CTN],KENKO[[#This Row],[//]]-2)="",INDEX([6]!NOTA[HARGA SATUAN],KENKO[//]-2),INDEX([6]!NOTA[HARGA/ CTN],KENKO[[#This Row],[//]]-2)))</f>
        <v>1987200</v>
      </c>
      <c r="O209" s="8">
        <f ca="1">IF(KENKO[[#This Row],[//]]="","",INDEX([6]!NOTA[DISC 1],KENKO[[#This Row],[//]]-2))</f>
        <v>0.17</v>
      </c>
      <c r="P209" s="8">
        <f ca="1">IF(KENKO[[#This Row],[//]]="","",INDEX([6]!NOTA[DISC 2],KENKO[[#This Row],[//]]-2))</f>
        <v>0</v>
      </c>
      <c r="Q209" s="5">
        <f ca="1">IF(KENKO[[#This Row],[//]]="","",INDEX([6]!NOTA[JUMLAH],KENKO[[#This Row],[//]]-2)*(100%-IF(ISNUMBER(KENKO[[#This Row],[DISC 1 (%)]]),KENKO[[#This Row],[DISC 1 (%)]],0)))</f>
        <v>3298752</v>
      </c>
      <c r="R2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4" t="str">
        <f ca="1">IF(KENKO[[#This Row],[//]]="","",INDEX([6]!NOTA[NAMA BARANG],KENKO[[#This Row],[//]]-2))</f>
        <v>KENKO COLOR CLIP 3100</v>
      </c>
      <c r="V209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209" s="4" t="s">
        <v>137</v>
      </c>
      <c r="X209" s="4" t="str">
        <f ca="1">IF(KENKO[[#This Row],[N.B.nota]]="","",ADDRESS(ROW(KENKO[QB]),COLUMN(KENKO[QB]))&amp;":"&amp;ADDRESS(ROW(),COLUMN(KENKO[QB])))</f>
        <v>$D$3:$D$209</v>
      </c>
      <c r="Y209" s="14" t="str">
        <f ca="1">IF(KENKO[[#This Row],[//]]="","",HYPERLINK("[..\\DB.xlsx]DB!e"&amp;MATCH(KENKO[[#This Row],[concat]],[4]!db[NB NOTA_C],0)+1,"&gt;"))</f>
        <v>&gt;</v>
      </c>
    </row>
    <row r="210" spans="1:25" x14ac:dyDescent="0.25">
      <c r="A210" s="4"/>
      <c r="B210" s="6" t="str">
        <f>IF(KENKO[[#This Row],[N_ID]]="","",INDEX(Table1[ID],MATCH(KENKO[[#This Row],[N_ID]],Table1[N_ID],0)))</f>
        <v/>
      </c>
      <c r="C210" s="6" t="str">
        <f>IF(KENKO[[#This Row],[ID NOTA]]="","",HYPERLINK("[NOTA_.xlsx]NOTA!e"&amp;INDEX([6]!PAJAK[//],MATCH(KENKO[[#This Row],[ID NOTA]],[6]!PAJAK[ID],0)),"&gt;") )</f>
        <v/>
      </c>
      <c r="D210" s="6" t="str">
        <f>IF(KENKO[[#This Row],[ID NOTA]]="","",INDEX(Table1[QB],MATCH(KENKO[[#This Row],[ID NOTA]],Table1[ID],0)))</f>
        <v/>
      </c>
      <c r="E21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806</v>
      </c>
      <c r="F210" s="6" t="str">
        <f>IF(KENKO[[#This Row],[NO. NOTA]]="","",INDEX([5]KE!$A:$A,MATCH(KENKO[[#This Row],[NO. NOTA]],[5]KE!$D:$D,0)))</f>
        <v/>
      </c>
      <c r="G210" s="3" t="str">
        <f>IF(KENKO[[#This Row],[ID NOTA]]="","",INDEX([6]!NOTA[TGL_H],MATCH(KENKO[[#This Row],[ID NOTA]],[6]!NOTA[ID],0)))</f>
        <v/>
      </c>
      <c r="H210" s="3" t="str">
        <f>IF(KENKO[[#This Row],[ID NOTA]]="","",INDEX([6]!NOTA[TGL.NOTA],MATCH(KENKO[[#This Row],[ID NOTA]],[6]!NOTA[ID],0)))</f>
        <v/>
      </c>
      <c r="I210" s="19" t="str">
        <f>IF(KENKO[[#This Row],[ID NOTA]]="","",INDEX([6]!NOTA[NO.NOTA],MATCH(KENKO[[#This Row],[ID NOTA]],[6]!NOTA[ID],0)))</f>
        <v/>
      </c>
      <c r="J210" s="4" t="s">
        <v>224</v>
      </c>
      <c r="K210" s="6" t="str">
        <f>""</f>
        <v/>
      </c>
      <c r="L210" s="6">
        <f ca="1">IF(KENKO[//]="","",IF(INDEX([6]!NOTA[QTY],KENKO[//]-2)="",INDEX([6]!NOTA[C],KENKO[//]-2),INDEX([6]!NOTA[QTY],KENKO[//]-2)))</f>
        <v>6</v>
      </c>
      <c r="M210" s="6" t="str">
        <f ca="1">IF(KENKO[//]="","",IF(INDEX([6]!NOTA[STN],KENKO[//]-2)="","CTN",INDEX([6]!NOTA[STN],KENKO[//]-2)))</f>
        <v>CTN</v>
      </c>
      <c r="N210" s="5">
        <f ca="1">IF(KENKO[[#This Row],[//]]="","",IF(INDEX([6]!NOTA[HARGA/ CTN],KENKO[[#This Row],[//]]-2)="",INDEX([6]!NOTA[HARGA SATUAN],KENKO[//]-2),INDEX([6]!NOTA[HARGA/ CTN],KENKO[[#This Row],[//]]-2)))</f>
        <v>1150000</v>
      </c>
      <c r="O210" s="8">
        <f ca="1">IF(KENKO[[#This Row],[//]]="","",INDEX([6]!NOTA[DISC 1],KENKO[[#This Row],[//]]-2))</f>
        <v>0.17</v>
      </c>
      <c r="P210" s="8">
        <f ca="1">IF(KENKO[[#This Row],[//]]="","",INDEX([6]!NOTA[DISC 2],KENKO[[#This Row],[//]]-2))</f>
        <v>0</v>
      </c>
      <c r="Q210" s="5">
        <f ca="1">IF(KENKO[[#This Row],[//]]="","",INDEX([6]!NOTA[JUMLAH],KENKO[[#This Row],[//]]-2)*(100%-IF(ISNUMBER(KENKO[[#This Row],[DISC 1 (%)]]),KENKO[[#This Row],[DISC 1 (%)]],0)))</f>
        <v>5727000</v>
      </c>
      <c r="R2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4" t="str">
        <f ca="1">IF(KENKO[[#This Row],[//]]="","",INDEX([6]!NOTA[NAMA BARANG],KENKO[[#This Row],[//]]-2))</f>
        <v>KENKO LAMINATING FILM LF100-2234 (FC) @ 100PCS</v>
      </c>
      <c r="V210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210" s="4" t="s">
        <v>137</v>
      </c>
      <c r="X210" s="4" t="str">
        <f ca="1">IF(KENKO[[#This Row],[N.B.nota]]="","",ADDRESS(ROW(KENKO[QB]),COLUMN(KENKO[QB]))&amp;":"&amp;ADDRESS(ROW(),COLUMN(KENKO[QB])))</f>
        <v>$D$3:$D$210</v>
      </c>
      <c r="Y210" s="14" t="str">
        <f ca="1">IF(KENKO[[#This Row],[//]]="","",HYPERLINK("[..\\DB.xlsx]DB!e"&amp;MATCH(KENKO[[#This Row],[concat]],[4]!db[NB NOTA_C],0)+1,"&gt;"))</f>
        <v>&gt;</v>
      </c>
    </row>
    <row r="211" spans="1:25" x14ac:dyDescent="0.25">
      <c r="A211" s="4"/>
      <c r="B211" s="6" t="str">
        <f>IF(KENKO[[#This Row],[N_ID]]="","",INDEX(Table1[ID],MATCH(KENKO[[#This Row],[N_ID]],Table1[N_ID],0)))</f>
        <v/>
      </c>
      <c r="C211" s="6" t="str">
        <f>IF(KENKO[[#This Row],[ID NOTA]]="","",HYPERLINK("[NOTA_.xlsx]NOTA!e"&amp;INDEX([6]!PAJAK[//],MATCH(KENKO[[#This Row],[ID NOTA]],[6]!PAJAK[ID],0)),"&gt;") )</f>
        <v/>
      </c>
      <c r="D211" s="6" t="str">
        <f>IF(KENKO[[#This Row],[ID NOTA]]="","",INDEX(Table1[QB],MATCH(KENKO[[#This Row],[ID NOTA]],Table1[ID],0)))</f>
        <v/>
      </c>
      <c r="E21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807</v>
      </c>
      <c r="F211" s="6" t="str">
        <f>IF(KENKO[[#This Row],[NO. NOTA]]="","",INDEX([5]KE!$A:$A,MATCH(KENKO[[#This Row],[NO. NOTA]],[5]KE!$D:$D,0)))</f>
        <v/>
      </c>
      <c r="G211" s="3" t="str">
        <f>IF(KENKO[[#This Row],[ID NOTA]]="","",INDEX([6]!NOTA[TGL_H],MATCH(KENKO[[#This Row],[ID NOTA]],[6]!NOTA[ID],0)))</f>
        <v/>
      </c>
      <c r="H211" s="3" t="str">
        <f>IF(KENKO[[#This Row],[ID NOTA]]="","",INDEX([6]!NOTA[TGL.NOTA],MATCH(KENKO[[#This Row],[ID NOTA]],[6]!NOTA[ID],0)))</f>
        <v/>
      </c>
      <c r="I211" s="19" t="str">
        <f>IF(KENKO[[#This Row],[ID NOTA]]="","",INDEX([6]!NOTA[NO.NOTA],MATCH(KENKO[[#This Row],[ID NOTA]],[6]!NOTA[ID],0)))</f>
        <v/>
      </c>
      <c r="J211" s="4" t="s">
        <v>245</v>
      </c>
      <c r="K211" s="6" t="str">
        <f>""</f>
        <v/>
      </c>
      <c r="L211" s="6">
        <f ca="1">IF(KENKO[//]="","",IF(INDEX([6]!NOTA[QTY],KENKO[//]-2)="",INDEX([6]!NOTA[C],KENKO[//]-2),INDEX([6]!NOTA[QTY],KENKO[//]-2)))</f>
        <v>5</v>
      </c>
      <c r="M211" s="6" t="str">
        <f ca="1">IF(KENKO[//]="","",IF(INDEX([6]!NOTA[STN],KENKO[//]-2)="","CTN",INDEX([6]!NOTA[STN],KENKO[//]-2)))</f>
        <v>CTN</v>
      </c>
      <c r="N211" s="5">
        <f ca="1">IF(KENKO[[#This Row],[//]]="","",IF(INDEX([6]!NOTA[HARGA/ CTN],KENKO[[#This Row],[//]]-2)="",INDEX([6]!NOTA[HARGA SATUAN],KENKO[//]-2),INDEX([6]!NOTA[HARGA/ CTN],KENKO[[#This Row],[//]]-2)))</f>
        <v>1890000</v>
      </c>
      <c r="O211" s="8">
        <f ca="1">IF(KENKO[[#This Row],[//]]="","",INDEX([6]!NOTA[DISC 1],KENKO[[#This Row],[//]]-2))</f>
        <v>0.17</v>
      </c>
      <c r="P211" s="8">
        <f ca="1">IF(KENKO[[#This Row],[//]]="","",INDEX([6]!NOTA[DISC 2],KENKO[[#This Row],[//]]-2))</f>
        <v>0</v>
      </c>
      <c r="Q211" s="5">
        <f ca="1">IF(KENKO[[#This Row],[//]]="","",INDEX([6]!NOTA[JUMLAH],KENKO[[#This Row],[//]]-2)*(100%-IF(ISNUMBER(KENKO[[#This Row],[DISC 1 (%)]]),KENKO[[#This Row],[DISC 1 (%)]],0)))</f>
        <v>7843500</v>
      </c>
      <c r="R2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4" t="str">
        <f ca="1">IF(KENKO[[#This Row],[//]]="","",INDEX([6]!NOTA[NAMA BARANG],KENKO[[#This Row],[//]]-2))</f>
        <v>KENKO SCISSOR SC-838N</v>
      </c>
      <c r="V211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211" s="4" t="s">
        <v>137</v>
      </c>
      <c r="X211" s="4" t="str">
        <f ca="1">IF(KENKO[[#This Row],[N.B.nota]]="","",ADDRESS(ROW(KENKO[QB]),COLUMN(KENKO[QB]))&amp;":"&amp;ADDRESS(ROW(),COLUMN(KENKO[QB])))</f>
        <v>$D$3:$D$211</v>
      </c>
      <c r="Y211" s="14" t="str">
        <f ca="1">IF(KENKO[[#This Row],[//]]="","",HYPERLINK("[..\\DB.xlsx]DB!e"&amp;MATCH(KENKO[[#This Row],[concat]],[4]!db[NB NOTA_C],0)+1,"&gt;"))</f>
        <v>&gt;</v>
      </c>
    </row>
    <row r="212" spans="1:25" x14ac:dyDescent="0.25">
      <c r="A212" s="4"/>
      <c r="B212" s="6" t="str">
        <f>IF(KENKO[[#This Row],[N_ID]]="","",INDEX(Table1[ID],MATCH(KENKO[[#This Row],[N_ID]],Table1[N_ID],0)))</f>
        <v/>
      </c>
      <c r="C212" s="6" t="str">
        <f>IF(KENKO[[#This Row],[ID NOTA]]="","",HYPERLINK("[NOTA_.xlsx]NOTA!e"&amp;INDEX([6]!PAJAK[//],MATCH(KENKO[[#This Row],[ID NOTA]],[6]!PAJAK[ID],0)),"&gt;") )</f>
        <v/>
      </c>
      <c r="D212" s="6" t="str">
        <f>IF(KENKO[[#This Row],[ID NOTA]]="","",INDEX(Table1[QB],MATCH(KENKO[[#This Row],[ID NOTA]],Table1[ID],0)))</f>
        <v/>
      </c>
      <c r="E21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808</v>
      </c>
      <c r="F212" s="6" t="str">
        <f>IF(KENKO[[#This Row],[NO. NOTA]]="","",INDEX([5]KE!$A:$A,MATCH(KENKO[[#This Row],[NO. NOTA]],[5]KE!$D:$D,0)))</f>
        <v/>
      </c>
      <c r="G212" s="3" t="str">
        <f>IF(KENKO[[#This Row],[ID NOTA]]="","",INDEX([6]!NOTA[TGL_H],MATCH(KENKO[[#This Row],[ID NOTA]],[6]!NOTA[ID],0)))</f>
        <v/>
      </c>
      <c r="H212" s="3" t="str">
        <f>IF(KENKO[[#This Row],[ID NOTA]]="","",INDEX([6]!NOTA[TGL.NOTA],MATCH(KENKO[[#This Row],[ID NOTA]],[6]!NOTA[ID],0)))</f>
        <v/>
      </c>
      <c r="I212" s="19" t="str">
        <f>IF(KENKO[[#This Row],[ID NOTA]]="","",INDEX([6]!NOTA[NO.NOTA],MATCH(KENKO[[#This Row],[ID NOTA]],[6]!NOTA[ID],0)))</f>
        <v/>
      </c>
      <c r="J212" s="4" t="s">
        <v>177</v>
      </c>
      <c r="K212" s="6" t="str">
        <f>""</f>
        <v/>
      </c>
      <c r="L212" s="6">
        <f ca="1">IF(KENKO[//]="","",IF(INDEX([6]!NOTA[QTY],KENKO[//]-2)="",INDEX([6]!NOTA[C],KENKO[//]-2),INDEX([6]!NOTA[QTY],KENKO[//]-2)))</f>
        <v>5</v>
      </c>
      <c r="M212" s="6" t="str">
        <f ca="1">IF(KENKO[//]="","",IF(INDEX([6]!NOTA[STN],KENKO[//]-2)="","CTN",INDEX([6]!NOTA[STN],KENKO[//]-2)))</f>
        <v>CTN</v>
      </c>
      <c r="N212" s="5">
        <f ca="1">IF(KENKO[[#This Row],[//]]="","",IF(INDEX([6]!NOTA[HARGA/ CTN],KENKO[[#This Row],[//]]-2)="",INDEX([6]!NOTA[HARGA SATUAN],KENKO[//]-2),INDEX([6]!NOTA[HARGA/ CTN],KENKO[[#This Row],[//]]-2)))</f>
        <v>3110400</v>
      </c>
      <c r="O212" s="8">
        <f ca="1">IF(KENKO[[#This Row],[//]]="","",INDEX([6]!NOTA[DISC 1],KENKO[[#This Row],[//]]-2))</f>
        <v>0.17</v>
      </c>
      <c r="P212" s="8">
        <f ca="1">IF(KENKO[[#This Row],[//]]="","",INDEX([6]!NOTA[DISC 2],KENKO[[#This Row],[//]]-2))</f>
        <v>0</v>
      </c>
      <c r="Q212" s="5">
        <f ca="1">IF(KENKO[[#This Row],[//]]="","",INDEX([6]!NOTA[JUMLAH],KENKO[[#This Row],[//]]-2)*(100%-IF(ISNUMBER(KENKO[[#This Row],[DISC 1 (%)]]),KENKO[[#This Row],[DISC 1 (%)]],0)))</f>
        <v>12908160</v>
      </c>
      <c r="R21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11685528</v>
      </c>
      <c r="S21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57052872</v>
      </c>
      <c r="T21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4" t="str">
        <f ca="1">IF(KENKO[[#This Row],[//]]="","",INDEX([6]!NOTA[NAMA BARANG],KENKO[[#This Row],[//]]-2))</f>
        <v>KENKO GEL PEN KE-303 T-GEL TRIANGULAR BLACK</v>
      </c>
      <c r="V21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212" s="4" t="s">
        <v>137</v>
      </c>
      <c r="X212" s="4" t="str">
        <f ca="1">IF(KENKO[[#This Row],[N.B.nota]]="","",ADDRESS(ROW(KENKO[QB]),COLUMN(KENKO[QB]))&amp;":"&amp;ADDRESS(ROW(),COLUMN(KENKO[QB])))</f>
        <v>$D$3:$D$212</v>
      </c>
      <c r="Y212" s="14" t="str">
        <f ca="1">IF(KENKO[[#This Row],[//]]="","",HYPERLINK("[..\\DB.xlsx]DB!e"&amp;MATCH(KENKO[[#This Row],[concat]],[4]!db[NB NOTA_C],0)+1,"&gt;"))</f>
        <v>&gt;</v>
      </c>
    </row>
    <row r="213" spans="1:25" x14ac:dyDescent="0.25">
      <c r="A213" s="4"/>
      <c r="B213" s="6" t="str">
        <f>IF(KENKO[[#This Row],[N_ID]]="","",INDEX(Table1[ID],MATCH(KENKO[[#This Row],[N_ID]],Table1[N_ID],0)))</f>
        <v/>
      </c>
      <c r="C213" s="6" t="str">
        <f>IF(KENKO[[#This Row],[ID NOTA]]="","",HYPERLINK("[NOTA_.xlsx]NOTA!e"&amp;INDEX([6]!PAJAK[//],MATCH(KENKO[[#This Row],[ID NOTA]],[6]!PAJAK[ID],0)),"&gt;") )</f>
        <v/>
      </c>
      <c r="D213" s="6" t="str">
        <f>IF(KENKO[[#This Row],[ID NOTA]]="","",INDEX(Table1[QB],MATCH(KENKO[[#This Row],[ID NOTA]],Table1[ID],0)))</f>
        <v/>
      </c>
      <c r="E21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3" s="6" t="str">
        <f>IF(KENKO[[#This Row],[NO. NOTA]]="","",INDEX([5]KE!$A:$A,MATCH(KENKO[[#This Row],[NO. NOTA]],[5]KE!$D:$D,0)))</f>
        <v/>
      </c>
      <c r="G213" s="3" t="str">
        <f>IF(KENKO[[#This Row],[ID NOTA]]="","",INDEX([6]!NOTA[TGL_H],MATCH(KENKO[[#This Row],[ID NOTA]],[6]!NOTA[ID],0)))</f>
        <v/>
      </c>
      <c r="H213" s="3" t="str">
        <f>IF(KENKO[[#This Row],[ID NOTA]]="","",INDEX([6]!NOTA[TGL.NOTA],MATCH(KENKO[[#This Row],[ID NOTA]],[6]!NOTA[ID],0)))</f>
        <v/>
      </c>
      <c r="I213" s="19" t="str">
        <f>IF(KENKO[[#This Row],[ID NOTA]]="","",INDEX([6]!NOTA[NO.NOTA],MATCH(KENKO[[#This Row],[ID NOTA]],[6]!NOTA[ID],0)))</f>
        <v/>
      </c>
      <c r="J213" s="4" t="s">
        <v>136</v>
      </c>
      <c r="K213" s="6" t="str">
        <f>""</f>
        <v/>
      </c>
      <c r="L213" s="6" t="str">
        <f ca="1">IF(KENKO[//]="","",IF(INDEX([6]!NOTA[QTY],KENKO[//]-2)="",INDEX([6]!NOTA[C],KENKO[//]-2),INDEX([6]!NOTA[QTY],KENKO[//]-2)))</f>
        <v/>
      </c>
      <c r="M213" s="6" t="str">
        <f ca="1">IF(KENKO[//]="","",IF(INDEX([6]!NOTA[STN],KENKO[//]-2)="","CTN",INDEX([6]!NOTA[STN],KENKO[//]-2)))</f>
        <v/>
      </c>
      <c r="N213" s="5" t="str">
        <f ca="1">IF(KENKO[[#This Row],[//]]="","",IF(INDEX([6]!NOTA[HARGA/ CTN],KENKO[[#This Row],[//]]-2)="",INDEX([6]!NOTA[HARGA SATUAN],KENKO[//]-2),INDEX([6]!NOTA[HARGA/ CTN],KENKO[[#This Row],[//]]-2)))</f>
        <v/>
      </c>
      <c r="O213" s="8" t="str">
        <f ca="1">IF(KENKO[[#This Row],[//]]="","",INDEX([6]!NOTA[DISC 1],KENKO[[#This Row],[//]]-2))</f>
        <v/>
      </c>
      <c r="P213" s="8" t="str">
        <f ca="1">IF(KENKO[[#This Row],[//]]="","",INDEX([6]!NOTA[DISC 2],KENKO[[#This Row],[//]]-2))</f>
        <v/>
      </c>
      <c r="Q213" s="5" t="str">
        <f ca="1">IF(KENKO[[#This Row],[//]]="","",INDEX([6]!NOTA[JUMLAH],KENKO[[#This Row],[//]]-2)*(100%-IF(ISNUMBER(KENKO[[#This Row],[DISC 1 (%)]]),KENKO[[#This Row],[DISC 1 (%)]],0)))</f>
        <v/>
      </c>
      <c r="R2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4" t="str">
        <f ca="1">IF(KENKO[[#This Row],[//]]="","",INDEX([6]!NOTA[NAMA BARANG],KENKO[[#This Row],[//]]-2))</f>
        <v/>
      </c>
      <c r="V213" s="4" t="str">
        <f ca="1">LOWER(SUBSTITUTE(SUBSTITUTE(SUBSTITUTE(SUBSTITUTE(SUBSTITUTE(SUBSTITUTE(SUBSTITUTE(SUBSTITUTE(KENKO[[#This Row],[N.B.nota]]," ",""),"-",""),"(",""),")",""),".",""),",",""),"/",""),"""",""))</f>
        <v/>
      </c>
      <c r="W213" s="4" t="s">
        <v>136</v>
      </c>
      <c r="X213" s="4" t="str">
        <f ca="1">IF(KENKO[[#This Row],[N.B.nota]]="","",ADDRESS(ROW(KENKO[QB]),COLUMN(KENKO[QB]))&amp;":"&amp;ADDRESS(ROW(),COLUMN(KENKO[QB])))</f>
        <v/>
      </c>
      <c r="Y213" s="14" t="str">
        <f ca="1">IF(KENKO[[#This Row],[//]]="","",HYPERLINK("[..\\DB.xlsx]DB!e"&amp;MATCH(KENKO[[#This Row],[concat]],[4]!db[NB NOTA_C],0)+1,"&gt;"))</f>
        <v/>
      </c>
    </row>
    <row r="214" spans="1:25" x14ac:dyDescent="0.25">
      <c r="A214" s="4" t="s">
        <v>110</v>
      </c>
      <c r="B214" s="6">
        <f ca="1">IF(KENKO[[#This Row],[N_ID]]="","",INDEX(Table1[ID],MATCH(KENKO[[#This Row],[N_ID]],Table1[N_ID],0)))</f>
        <v>156</v>
      </c>
      <c r="C214" s="6" t="str">
        <f ca="1">IF(KENKO[[#This Row],[ID NOTA]]="","",HYPERLINK("[NOTA_.xlsx]NOTA!e"&amp;INDEX([6]!PAJAK[//],MATCH(KENKO[[#This Row],[ID NOTA]],[6]!PAJAK[ID],0)),"&gt;") )</f>
        <v>&gt;</v>
      </c>
      <c r="D214" s="6">
        <f ca="1">IF(KENKO[[#This Row],[ID NOTA]]="","",INDEX(Table1[QB],MATCH(KENKO[[#This Row],[ID NOTA]],Table1[ID],0)))</f>
        <v>4</v>
      </c>
      <c r="E21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797</v>
      </c>
      <c r="F214" s="6" t="e">
        <f ca="1">IF(KENKO[[#This Row],[NO. NOTA]]="","",INDEX([5]KE!$A:$A,MATCH(KENKO[[#This Row],[NO. NOTA]],[5]KE!$D:$D,0)))</f>
        <v>#N/A</v>
      </c>
      <c r="G214" s="3">
        <f ca="1">IF(KENKO[[#This Row],[ID NOTA]]="","",INDEX([6]!NOTA[TGL_H],MATCH(KENKO[[#This Row],[ID NOTA]],[6]!NOTA[ID],0)))</f>
        <v>44769</v>
      </c>
      <c r="H214" s="3">
        <f ca="1">IF(KENKO[[#This Row],[ID NOTA]]="","",INDEX([6]!NOTA[TGL.NOTA],MATCH(KENKO[[#This Row],[ID NOTA]],[6]!NOTA[ID],0)))</f>
        <v>44767</v>
      </c>
      <c r="I214" s="19" t="str">
        <f ca="1">IF(KENKO[[#This Row],[ID NOTA]]="","",INDEX([6]!NOTA[NO.NOTA],MATCH(KENKO[[#This Row],[ID NOTA]],[6]!NOTA[ID],0)))</f>
        <v>22072367</v>
      </c>
      <c r="J214" s="4" t="s">
        <v>179</v>
      </c>
      <c r="K214" s="6" t="str">
        <f>""</f>
        <v/>
      </c>
      <c r="L214" s="6">
        <f ca="1">IF(KENKO[//]="","",IF(INDEX([6]!NOTA[QTY],KENKO[//]-2)="",INDEX([6]!NOTA[C],KENKO[//]-2),INDEX([6]!NOTA[QTY],KENKO[//]-2)))</f>
        <v>3</v>
      </c>
      <c r="M214" s="6" t="str">
        <f ca="1">IF(KENKO[//]="","",IF(INDEX([6]!NOTA[STN],KENKO[//]-2)="","CTN",INDEX([6]!NOTA[STN],KENKO[//]-2)))</f>
        <v>CTN</v>
      </c>
      <c r="N214" s="5">
        <f ca="1">IF(KENKO[[#This Row],[//]]="","",IF(INDEX([6]!NOTA[HARGA/ CTN],KENKO[[#This Row],[//]]-2)="",INDEX([6]!NOTA[HARGA SATUAN],KENKO[//]-2),INDEX([6]!NOTA[HARGA/ CTN],KENKO[[#This Row],[//]]-2)))</f>
        <v>2160000</v>
      </c>
      <c r="O214" s="8">
        <f ca="1">IF(KENKO[[#This Row],[//]]="","",INDEX([6]!NOTA[DISC 1],KENKO[[#This Row],[//]]-2))</f>
        <v>0.17</v>
      </c>
      <c r="P214" s="8">
        <f ca="1">IF(KENKO[[#This Row],[//]]="","",INDEX([6]!NOTA[DISC 2],KENKO[[#This Row],[//]]-2))</f>
        <v>0</v>
      </c>
      <c r="Q214" s="5">
        <f ca="1">IF(KENKO[[#This Row],[//]]="","",INDEX([6]!NOTA[JUMLAH],KENKO[[#This Row],[//]]-2)*(100%-IF(ISNUMBER(KENKO[[#This Row],[DISC 1 (%)]]),KENKO[[#This Row],[DISC 1 (%)]],0)))</f>
        <v>5378400</v>
      </c>
      <c r="R2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4" t="str">
        <f ca="1">IF(KENKO[[#This Row],[//]]="","",INDEX([6]!NOTA[NAMA BARANG],KENKO[[#This Row],[//]]-2))</f>
        <v>KENKO PERMANENT MARKER PM-100 BLACK</v>
      </c>
      <c r="V214" s="4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214" s="4" t="s">
        <v>137</v>
      </c>
      <c r="X214" s="4" t="str">
        <f ca="1">IF(KENKO[[#This Row],[N.B.nota]]="","",ADDRESS(ROW(KENKO[QB]),COLUMN(KENKO[QB]))&amp;":"&amp;ADDRESS(ROW(),COLUMN(KENKO[QB])))</f>
        <v>$D$3:$D$214</v>
      </c>
      <c r="Y214" s="14" t="str">
        <f ca="1">IF(KENKO[[#This Row],[//]]="","",HYPERLINK("[..\\DB.xlsx]DB!e"&amp;MATCH(KENKO[[#This Row],[concat]],[4]!db[NB NOTA_C],0)+1,"&gt;"))</f>
        <v>&gt;</v>
      </c>
    </row>
    <row r="215" spans="1:25" x14ac:dyDescent="0.25">
      <c r="A215" s="4"/>
      <c r="B215" s="6" t="str">
        <f>IF(KENKO[[#This Row],[N_ID]]="","",INDEX(Table1[ID],MATCH(KENKO[[#This Row],[N_ID]],Table1[N_ID],0)))</f>
        <v/>
      </c>
      <c r="C215" s="6" t="str">
        <f>IF(KENKO[[#This Row],[ID NOTA]]="","",HYPERLINK("[NOTA_.xlsx]NOTA!e"&amp;INDEX([6]!PAJAK[//],MATCH(KENKO[[#This Row],[ID NOTA]],[6]!PAJAK[ID],0)),"&gt;") )</f>
        <v/>
      </c>
      <c r="D215" s="6" t="str">
        <f>IF(KENKO[[#This Row],[ID NOTA]]="","",INDEX(Table1[QB],MATCH(KENKO[[#This Row],[ID NOTA]],Table1[ID],0)))</f>
        <v/>
      </c>
      <c r="E21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798</v>
      </c>
      <c r="F215" s="6" t="str">
        <f>IF(KENKO[[#This Row],[NO. NOTA]]="","",INDEX([5]KE!$A:$A,MATCH(KENKO[[#This Row],[NO. NOTA]],[5]KE!$D:$D,0)))</f>
        <v/>
      </c>
      <c r="G215" s="3" t="str">
        <f>IF(KENKO[[#This Row],[ID NOTA]]="","",INDEX([6]!NOTA[TGL_H],MATCH(KENKO[[#This Row],[ID NOTA]],[6]!NOTA[ID],0)))</f>
        <v/>
      </c>
      <c r="H215" s="3" t="str">
        <f>IF(KENKO[[#This Row],[ID NOTA]]="","",INDEX([6]!NOTA[TGL.NOTA],MATCH(KENKO[[#This Row],[ID NOTA]],[6]!NOTA[ID],0)))</f>
        <v/>
      </c>
      <c r="I215" s="19" t="str">
        <f>IF(KENKO[[#This Row],[ID NOTA]]="","",INDEX([6]!NOTA[NO.NOTA],MATCH(KENKO[[#This Row],[ID NOTA]],[6]!NOTA[ID],0)))</f>
        <v/>
      </c>
      <c r="J215" s="4" t="s">
        <v>245</v>
      </c>
      <c r="K215" s="6" t="str">
        <f>""</f>
        <v/>
      </c>
      <c r="L215" s="6">
        <f ca="1">IF(KENKO[//]="","",IF(INDEX([6]!NOTA[QTY],KENKO[//]-2)="",INDEX([6]!NOTA[C],KENKO[//]-2),INDEX([6]!NOTA[QTY],KENKO[//]-2)))</f>
        <v>2</v>
      </c>
      <c r="M215" s="6" t="str">
        <f ca="1">IF(KENKO[//]="","",IF(INDEX([6]!NOTA[STN],KENKO[//]-2)="","CTN",INDEX([6]!NOTA[STN],KENKO[//]-2)))</f>
        <v>CTN</v>
      </c>
      <c r="N215" s="5">
        <f ca="1">IF(KENKO[[#This Row],[//]]="","",IF(INDEX([6]!NOTA[HARGA/ CTN],KENKO[[#This Row],[//]]-2)="",INDEX([6]!NOTA[HARGA SATUAN],KENKO[//]-2),INDEX([6]!NOTA[HARGA/ CTN],KENKO[[#This Row],[//]]-2)))</f>
        <v>1890000</v>
      </c>
      <c r="O215" s="8">
        <f ca="1">IF(KENKO[[#This Row],[//]]="","",INDEX([6]!NOTA[DISC 1],KENKO[[#This Row],[//]]-2))</f>
        <v>0.17</v>
      </c>
      <c r="P215" s="8">
        <f ca="1">IF(KENKO[[#This Row],[//]]="","",INDEX([6]!NOTA[DISC 2],KENKO[[#This Row],[//]]-2))</f>
        <v>0</v>
      </c>
      <c r="Q215" s="5">
        <f ca="1">IF(KENKO[[#This Row],[//]]="","",INDEX([6]!NOTA[JUMLAH],KENKO[[#This Row],[//]]-2)*(100%-IF(ISNUMBER(KENKO[[#This Row],[DISC 1 (%)]]),KENKO[[#This Row],[DISC 1 (%)]],0)))</f>
        <v>3137400</v>
      </c>
      <c r="R2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4" t="str">
        <f ca="1">IF(KENKO[[#This Row],[//]]="","",INDEX([6]!NOTA[NAMA BARANG],KENKO[[#This Row],[//]]-2))</f>
        <v>KENKO SCISSOR SC-838N</v>
      </c>
      <c r="V215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215" s="4" t="s">
        <v>137</v>
      </c>
      <c r="X215" s="4" t="str">
        <f ca="1">IF(KENKO[[#This Row],[N.B.nota]]="","",ADDRESS(ROW(KENKO[QB]),COLUMN(KENKO[QB]))&amp;":"&amp;ADDRESS(ROW(),COLUMN(KENKO[QB])))</f>
        <v>$D$3:$D$215</v>
      </c>
      <c r="Y215" s="14" t="str">
        <f ca="1">IF(KENKO[[#This Row],[//]]="","",HYPERLINK("[..\\DB.xlsx]DB!e"&amp;MATCH(KENKO[[#This Row],[concat]],[4]!db[NB NOTA_C],0)+1,"&gt;"))</f>
        <v>&gt;</v>
      </c>
    </row>
    <row r="216" spans="1:25" x14ac:dyDescent="0.25">
      <c r="A216" s="4"/>
      <c r="B216" s="6" t="str">
        <f>IF(KENKO[[#This Row],[N_ID]]="","",INDEX(Table1[ID],MATCH(KENKO[[#This Row],[N_ID]],Table1[N_ID],0)))</f>
        <v/>
      </c>
      <c r="C216" s="6" t="str">
        <f>IF(KENKO[[#This Row],[ID NOTA]]="","",HYPERLINK("[NOTA_.xlsx]NOTA!e"&amp;INDEX([6]!PAJAK[//],MATCH(KENKO[[#This Row],[ID NOTA]],[6]!PAJAK[ID],0)),"&gt;") )</f>
        <v/>
      </c>
      <c r="D216" s="6" t="str">
        <f>IF(KENKO[[#This Row],[ID NOTA]]="","",INDEX(Table1[QB],MATCH(KENKO[[#This Row],[ID NOTA]],Table1[ID],0)))</f>
        <v/>
      </c>
      <c r="E21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799</v>
      </c>
      <c r="F216" s="6" t="str">
        <f>IF(KENKO[[#This Row],[NO. NOTA]]="","",INDEX([5]KE!$A:$A,MATCH(KENKO[[#This Row],[NO. NOTA]],[5]KE!$D:$D,0)))</f>
        <v/>
      </c>
      <c r="G216" s="3" t="str">
        <f>IF(KENKO[[#This Row],[ID NOTA]]="","",INDEX([6]!NOTA[TGL_H],MATCH(KENKO[[#This Row],[ID NOTA]],[6]!NOTA[ID],0)))</f>
        <v/>
      </c>
      <c r="H216" s="3" t="str">
        <f>IF(KENKO[[#This Row],[ID NOTA]]="","",INDEX([6]!NOTA[TGL.NOTA],MATCH(KENKO[[#This Row],[ID NOTA]],[6]!NOTA[ID],0)))</f>
        <v/>
      </c>
      <c r="I216" s="19" t="str">
        <f>IF(KENKO[[#This Row],[ID NOTA]]="","",INDEX([6]!NOTA[NO.NOTA],MATCH(KENKO[[#This Row],[ID NOTA]],[6]!NOTA[ID],0)))</f>
        <v/>
      </c>
      <c r="J216" s="4" t="s">
        <v>243</v>
      </c>
      <c r="K216" s="6" t="str">
        <f>""</f>
        <v/>
      </c>
      <c r="L216" s="6">
        <f ca="1">IF(KENKO[//]="","",IF(INDEX([6]!NOTA[QTY],KENKO[//]-2)="",INDEX([6]!NOTA[C],KENKO[//]-2),INDEX([6]!NOTA[QTY],KENKO[//]-2)))</f>
        <v>2</v>
      </c>
      <c r="M216" s="6" t="str">
        <f ca="1">IF(KENKO[//]="","",IF(INDEX([6]!NOTA[STN],KENKO[//]-2)="","CTN",INDEX([6]!NOTA[STN],KENKO[//]-2)))</f>
        <v>CTN</v>
      </c>
      <c r="N216" s="5">
        <f ca="1">IF(KENKO[[#This Row],[//]]="","",IF(INDEX([6]!NOTA[HARGA/ CTN],KENKO[[#This Row],[//]]-2)="",INDEX([6]!NOTA[HARGA SATUAN],KENKO[//]-2),INDEX([6]!NOTA[HARGA/ CTN],KENKO[[#This Row],[//]]-2)))</f>
        <v>1122000</v>
      </c>
      <c r="O216" s="8">
        <f ca="1">IF(KENKO[[#This Row],[//]]="","",INDEX([6]!NOTA[DISC 1],KENKO[[#This Row],[//]]-2))</f>
        <v>0.17</v>
      </c>
      <c r="P216" s="8">
        <f ca="1">IF(KENKO[[#This Row],[//]]="","",INDEX([6]!NOTA[DISC 2],KENKO[[#This Row],[//]]-2))</f>
        <v>0</v>
      </c>
      <c r="Q216" s="5">
        <f ca="1">IF(KENKO[[#This Row],[//]]="","",INDEX([6]!NOTA[JUMLAH],KENKO[[#This Row],[//]]-2)*(100%-IF(ISNUMBER(KENKO[[#This Row],[DISC 1 (%)]]),KENKO[[#This Row],[DISC 1 (%)]],0)))</f>
        <v>1862520</v>
      </c>
      <c r="R2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4" t="str">
        <f ca="1">IF(KENKO[[#This Row],[//]]="","",INDEX([6]!NOTA[NAMA BARANG],KENKO[[#This Row],[//]]-2))</f>
        <v>KENKO SCISSOR SC-848N</v>
      </c>
      <c r="V216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216" s="4" t="s">
        <v>137</v>
      </c>
      <c r="X216" s="4" t="str">
        <f ca="1">IF(KENKO[[#This Row],[N.B.nota]]="","",ADDRESS(ROW(KENKO[QB]),COLUMN(KENKO[QB]))&amp;":"&amp;ADDRESS(ROW(),COLUMN(KENKO[QB])))</f>
        <v>$D$3:$D$216</v>
      </c>
      <c r="Y216" s="14" t="str">
        <f ca="1">IF(KENKO[[#This Row],[//]]="","",HYPERLINK("[..\\DB.xlsx]DB!e"&amp;MATCH(KENKO[[#This Row],[concat]],[4]!db[NB NOTA_C],0)+1,"&gt;"))</f>
        <v>&gt;</v>
      </c>
    </row>
    <row r="217" spans="1:25" x14ac:dyDescent="0.25">
      <c r="A217" s="4"/>
      <c r="B217" s="6" t="str">
        <f>IF(KENKO[[#This Row],[N_ID]]="","",INDEX(Table1[ID],MATCH(KENKO[[#This Row],[N_ID]],Table1[N_ID],0)))</f>
        <v/>
      </c>
      <c r="C217" s="6" t="str">
        <f>IF(KENKO[[#This Row],[ID NOTA]]="","",HYPERLINK("[NOTA_.xlsx]NOTA!e"&amp;INDEX([6]!PAJAK[//],MATCH(KENKO[[#This Row],[ID NOTA]],[6]!PAJAK[ID],0)),"&gt;") )</f>
        <v/>
      </c>
      <c r="D217" s="6" t="str">
        <f>IF(KENKO[[#This Row],[ID NOTA]]="","",INDEX(Table1[QB],MATCH(KENKO[[#This Row],[ID NOTA]],Table1[ID],0)))</f>
        <v/>
      </c>
      <c r="E21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800</v>
      </c>
      <c r="F217" s="6" t="str">
        <f>IF(KENKO[[#This Row],[NO. NOTA]]="","",INDEX([5]KE!$A:$A,MATCH(KENKO[[#This Row],[NO. NOTA]],[5]KE!$D:$D,0)))</f>
        <v/>
      </c>
      <c r="G217" s="3" t="str">
        <f>IF(KENKO[[#This Row],[ID NOTA]]="","",INDEX([6]!NOTA[TGL_H],MATCH(KENKO[[#This Row],[ID NOTA]],[6]!NOTA[ID],0)))</f>
        <v/>
      </c>
      <c r="H217" s="3" t="str">
        <f>IF(KENKO[[#This Row],[ID NOTA]]="","",INDEX([6]!NOTA[TGL.NOTA],MATCH(KENKO[[#This Row],[ID NOTA]],[6]!NOTA[ID],0)))</f>
        <v/>
      </c>
      <c r="I217" s="19" t="str">
        <f>IF(KENKO[[#This Row],[ID NOTA]]="","",INDEX([6]!NOTA[NO.NOTA],MATCH(KENKO[[#This Row],[ID NOTA]],[6]!NOTA[ID],0)))</f>
        <v/>
      </c>
      <c r="J217" s="4" t="s">
        <v>247</v>
      </c>
      <c r="K217" s="6" t="str">
        <f>""</f>
        <v/>
      </c>
      <c r="L217" s="6">
        <f ca="1">IF(KENKO[//]="","",IF(INDEX([6]!NOTA[QTY],KENKO[//]-2)="",INDEX([6]!NOTA[C],KENKO[//]-2),INDEX([6]!NOTA[QTY],KENKO[//]-2)))</f>
        <v>2</v>
      </c>
      <c r="M217" s="6" t="str">
        <f ca="1">IF(KENKO[//]="","",IF(INDEX([6]!NOTA[STN],KENKO[//]-2)="","CTN",INDEX([6]!NOTA[STN],KENKO[//]-2)))</f>
        <v>CTN</v>
      </c>
      <c r="N217" s="5">
        <f ca="1">IF(KENKO[[#This Row],[//]]="","",IF(INDEX([6]!NOTA[HARGA/ CTN],KENKO[[#This Row],[//]]-2)="",INDEX([6]!NOTA[HARGA SATUAN],KENKO[//]-2),INDEX([6]!NOTA[HARGA/ CTN],KENKO[[#This Row],[//]]-2)))</f>
        <v>1380000</v>
      </c>
      <c r="O217" s="8">
        <f ca="1">IF(KENKO[[#This Row],[//]]="","",INDEX([6]!NOTA[DISC 1],KENKO[[#This Row],[//]]-2))</f>
        <v>0.17</v>
      </c>
      <c r="P217" s="8">
        <f ca="1">IF(KENKO[[#This Row],[//]]="","",INDEX([6]!NOTA[DISC 2],KENKO[[#This Row],[//]]-2))</f>
        <v>0</v>
      </c>
      <c r="Q217" s="5">
        <f ca="1">IF(KENKO[[#This Row],[//]]="","",INDEX([6]!NOTA[JUMLAH],KENKO[[#This Row],[//]]-2)*(100%-IF(ISNUMBER(KENKO[[#This Row],[DISC 1 (%)]]),KENKO[[#This Row],[DISC 1 (%)]],0)))</f>
        <v>2290800</v>
      </c>
      <c r="R21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2594880</v>
      </c>
      <c r="S21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12669120</v>
      </c>
      <c r="T21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4" t="str">
        <f ca="1">IF(KENKO[[#This Row],[//]]="","",INDEX([6]!NOTA[NAMA BARANG],KENKO[[#This Row],[//]]-2))</f>
        <v>KENKO BINDER CLIP NO.155</v>
      </c>
      <c r="V217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17" s="4" t="s">
        <v>137</v>
      </c>
      <c r="X217" s="4" t="str">
        <f ca="1">IF(KENKO[[#This Row],[N.B.nota]]="","",ADDRESS(ROW(KENKO[QB]),COLUMN(KENKO[QB]))&amp;":"&amp;ADDRESS(ROW(),COLUMN(KENKO[QB])))</f>
        <v>$D$3:$D$217</v>
      </c>
      <c r="Y217" s="14" t="str">
        <f ca="1">IF(KENKO[[#This Row],[//]]="","",HYPERLINK("[..\\DB.xlsx]DB!e"&amp;MATCH(KENKO[[#This Row],[concat]],[4]!db[NB NOTA_C],0)+1,"&gt;"))</f>
        <v>&gt;</v>
      </c>
    </row>
    <row r="218" spans="1:25" x14ac:dyDescent="0.25">
      <c r="A218" s="4"/>
      <c r="B218" s="6" t="str">
        <f>IF(KENKO[[#This Row],[N_ID]]="","",INDEX(Table1[ID],MATCH(KENKO[[#This Row],[N_ID]],Table1[N_ID],0)))</f>
        <v/>
      </c>
      <c r="C218" s="6" t="str">
        <f>IF(KENKO[[#This Row],[ID NOTA]]="","",HYPERLINK("[NOTA_.xlsx]NOTA!e"&amp;INDEX([6]!PAJAK[//],MATCH(KENKO[[#This Row],[ID NOTA]],[6]!PAJAK[ID],0)),"&gt;") )</f>
        <v/>
      </c>
      <c r="D218" s="6" t="str">
        <f>IF(KENKO[[#This Row],[ID NOTA]]="","",INDEX(Table1[QB],MATCH(KENKO[[#This Row],[ID NOTA]],Table1[ID],0)))</f>
        <v/>
      </c>
      <c r="E21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8" s="6" t="str">
        <f>IF(KENKO[[#This Row],[NO. NOTA]]="","",INDEX([5]KE!$A:$A,MATCH(KENKO[[#This Row],[NO. NOTA]],[5]KE!$D:$D,0)))</f>
        <v/>
      </c>
      <c r="G218" s="3" t="str">
        <f>IF(KENKO[[#This Row],[ID NOTA]]="","",INDEX([6]!NOTA[TGL_H],MATCH(KENKO[[#This Row],[ID NOTA]],[6]!NOTA[ID],0)))</f>
        <v/>
      </c>
      <c r="H218" s="3" t="str">
        <f>IF(KENKO[[#This Row],[ID NOTA]]="","",INDEX([6]!NOTA[TGL.NOTA],MATCH(KENKO[[#This Row],[ID NOTA]],[6]!NOTA[ID],0)))</f>
        <v/>
      </c>
      <c r="I218" s="19" t="str">
        <f>IF(KENKO[[#This Row],[ID NOTA]]="","",INDEX([6]!NOTA[NO.NOTA],MATCH(KENKO[[#This Row],[ID NOTA]],[6]!NOTA[ID],0)))</f>
        <v/>
      </c>
      <c r="J218" s="4" t="s">
        <v>136</v>
      </c>
      <c r="K218" s="6" t="str">
        <f>""</f>
        <v/>
      </c>
      <c r="L218" s="6" t="str">
        <f ca="1">IF(KENKO[//]="","",IF(INDEX([6]!NOTA[QTY],KENKO[//]-2)="",INDEX([6]!NOTA[C],KENKO[//]-2),INDEX([6]!NOTA[QTY],KENKO[//]-2)))</f>
        <v/>
      </c>
      <c r="M218" s="6" t="str">
        <f ca="1">IF(KENKO[//]="","",IF(INDEX([6]!NOTA[STN],KENKO[//]-2)="","CTN",INDEX([6]!NOTA[STN],KENKO[//]-2)))</f>
        <v/>
      </c>
      <c r="N218" s="5" t="str">
        <f ca="1">IF(KENKO[[#This Row],[//]]="","",IF(INDEX([6]!NOTA[HARGA/ CTN],KENKO[[#This Row],[//]]-2)="",INDEX([6]!NOTA[HARGA SATUAN],KENKO[//]-2),INDEX([6]!NOTA[HARGA/ CTN],KENKO[[#This Row],[//]]-2)))</f>
        <v/>
      </c>
      <c r="O218" s="8" t="str">
        <f ca="1">IF(KENKO[[#This Row],[//]]="","",INDEX([6]!NOTA[DISC 1],KENKO[[#This Row],[//]]-2))</f>
        <v/>
      </c>
      <c r="P218" s="8" t="str">
        <f ca="1">IF(KENKO[[#This Row],[//]]="","",INDEX([6]!NOTA[DISC 2],KENKO[[#This Row],[//]]-2))</f>
        <v/>
      </c>
      <c r="Q218" s="5" t="str">
        <f ca="1">IF(KENKO[[#This Row],[//]]="","",INDEX([6]!NOTA[JUMLAH],KENKO[[#This Row],[//]]-2)*(100%-IF(ISNUMBER(KENKO[[#This Row],[DISC 1 (%)]]),KENKO[[#This Row],[DISC 1 (%)]],0)))</f>
        <v/>
      </c>
      <c r="R2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4" t="str">
        <f ca="1">IF(KENKO[[#This Row],[//]]="","",INDEX([6]!NOTA[NAMA BARANG],KENKO[[#This Row],[//]]-2))</f>
        <v/>
      </c>
      <c r="V218" s="4" t="str">
        <f ca="1">LOWER(SUBSTITUTE(SUBSTITUTE(SUBSTITUTE(SUBSTITUTE(SUBSTITUTE(SUBSTITUTE(SUBSTITUTE(SUBSTITUTE(KENKO[[#This Row],[N.B.nota]]," ",""),"-",""),"(",""),")",""),".",""),",",""),"/",""),"""",""))</f>
        <v/>
      </c>
      <c r="W218" s="4" t="s">
        <v>136</v>
      </c>
      <c r="X218" s="4" t="str">
        <f ca="1">IF(KENKO[[#This Row],[N.B.nota]]="","",ADDRESS(ROW(KENKO[QB]),COLUMN(KENKO[QB]))&amp;":"&amp;ADDRESS(ROW(),COLUMN(KENKO[QB])))</f>
        <v/>
      </c>
      <c r="Y218" s="14" t="str">
        <f ca="1">IF(KENKO[[#This Row],[//]]="","",HYPERLINK("[..\\DB.xlsx]DB!e"&amp;MATCH(KENKO[[#This Row],[concat]],[4]!db[NB NOTA_C],0)+1,"&gt;"))</f>
        <v/>
      </c>
    </row>
    <row r="219" spans="1:25" x14ac:dyDescent="0.25">
      <c r="A219" s="4" t="s">
        <v>119</v>
      </c>
      <c r="B219" s="6">
        <f ca="1">IF(KENKO[[#This Row],[N_ID]]="","",INDEX(Table1[ID],MATCH(KENKO[[#This Row],[N_ID]],Table1[N_ID],0)))</f>
        <v>166</v>
      </c>
      <c r="C219" s="6" t="str">
        <f ca="1">IF(KENKO[[#This Row],[ID NOTA]]="","",HYPERLINK("[NOTA_.xlsx]NOTA!e"&amp;INDEX([6]!PAJAK[//],MATCH(KENKO[[#This Row],[ID NOTA]],[6]!PAJAK[ID],0)),"&gt;") )</f>
        <v>&gt;</v>
      </c>
      <c r="D219" s="6">
        <f ca="1">IF(KENKO[[#This Row],[ID NOTA]]="","",INDEX(Table1[QB],MATCH(KENKO[[#This Row],[ID NOTA]],Table1[ID],0)))</f>
        <v>3</v>
      </c>
      <c r="E21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866</v>
      </c>
      <c r="F219" s="6" t="e">
        <f ca="1">IF(KENKO[[#This Row],[NO. NOTA]]="","",INDEX([5]KE!$A:$A,MATCH(KENKO[[#This Row],[NO. NOTA]],[5]KE!$D:$D,0)))</f>
        <v>#N/A</v>
      </c>
      <c r="G219" s="3">
        <f ca="1">IF(KENKO[[#This Row],[ID NOTA]]="","",INDEX([6]!NOTA[TGL_H],MATCH(KENKO[[#This Row],[ID NOTA]],[6]!NOTA[ID],0)))</f>
        <v>44771</v>
      </c>
      <c r="H219" s="3">
        <f ca="1">IF(KENKO[[#This Row],[ID NOTA]]="","",INDEX([6]!NOTA[TGL.NOTA],MATCH(KENKO[[#This Row],[ID NOTA]],[6]!NOTA[ID],0)))</f>
        <v>44768</v>
      </c>
      <c r="I219" s="19" t="str">
        <f ca="1">IF(KENKO[[#This Row],[ID NOTA]]="","",INDEX([6]!NOTA[NO.NOTA],MATCH(KENKO[[#This Row],[ID NOTA]],[6]!NOTA[ID],0)))</f>
        <v>22072386</v>
      </c>
      <c r="J219" s="4" t="s">
        <v>240</v>
      </c>
      <c r="K219" s="6" t="str">
        <f>""</f>
        <v/>
      </c>
      <c r="L219" s="6">
        <f ca="1">IF(KENKO[//]="","",IF(INDEX([6]!NOTA[QTY],KENKO[//]-2)="",INDEX([6]!NOTA[C],KENKO[//]-2),INDEX([6]!NOTA[QTY],KENKO[//]-2)))</f>
        <v>1</v>
      </c>
      <c r="M219" s="6" t="str">
        <f ca="1">IF(KENKO[//]="","",IF(INDEX([6]!NOTA[STN],KENKO[//]-2)="","CTN",INDEX([6]!NOTA[STN],KENKO[//]-2)))</f>
        <v>CTN</v>
      </c>
      <c r="N219" s="5">
        <f ca="1">IF(KENKO[[#This Row],[//]]="","",IF(INDEX([6]!NOTA[HARGA/ CTN],KENKO[[#This Row],[//]]-2)="",INDEX([6]!NOTA[HARGA SATUAN],KENKO[//]-2),INDEX([6]!NOTA[HARGA/ CTN],KENKO[[#This Row],[//]]-2)))</f>
        <v>990000</v>
      </c>
      <c r="O219" s="8">
        <f ca="1">IF(KENKO[[#This Row],[//]]="","",INDEX([6]!NOTA[DISC 1],KENKO[[#This Row],[//]]-2))</f>
        <v>0.17</v>
      </c>
      <c r="P219" s="8">
        <f ca="1">IF(KENKO[[#This Row],[//]]="","",INDEX([6]!NOTA[DISC 2],KENKO[[#This Row],[//]]-2))</f>
        <v>0</v>
      </c>
      <c r="Q219" s="5">
        <f ca="1">IF(KENKO[[#This Row],[//]]="","",INDEX([6]!NOTA[JUMLAH],KENKO[[#This Row],[//]]-2)*(100%-IF(ISNUMBER(KENKO[[#This Row],[DISC 1 (%)]]),KENKO[[#This Row],[DISC 1 (%)]],0)))</f>
        <v>821700</v>
      </c>
      <c r="R2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4" t="str">
        <f ca="1">IF(KENKO[[#This Row],[//]]="","",INDEX([6]!NOTA[NAMA BARANG],KENKO[[#This Row],[//]]-2))</f>
        <v>KENKO BUKU TAMU BT-3224-01 (KEMBANG)</v>
      </c>
      <c r="V219" s="4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219" s="4" t="s">
        <v>137</v>
      </c>
      <c r="X219" s="4" t="str">
        <f ca="1">IF(KENKO[[#This Row],[N.B.nota]]="","",ADDRESS(ROW(KENKO[QB]),COLUMN(KENKO[QB]))&amp;":"&amp;ADDRESS(ROW(),COLUMN(KENKO[QB])))</f>
        <v>$D$3:$D$219</v>
      </c>
      <c r="Y219" s="14" t="str">
        <f ca="1">IF(KENKO[[#This Row],[//]]="","",HYPERLINK("[..\\DB.xlsx]DB!e"&amp;MATCH(KENKO[[#This Row],[concat]],[4]!db[NB NOTA_C],0)+1,"&gt;"))</f>
        <v>&gt;</v>
      </c>
    </row>
    <row r="220" spans="1:25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NOTA]]="","",HYPERLINK("[NOTA_.xlsx]NOTA!e"&amp;INDEX([6]!PAJAK[//],MATCH(KENKO[[#This Row],[ID NOTA]],[6]!PAJAK[ID],0)),"&gt;") )</f>
        <v/>
      </c>
      <c r="D220" s="6" t="str">
        <f>IF(KENKO[[#This Row],[ID NOTA]]="","",INDEX(Table1[QB],MATCH(KENKO[[#This Row],[ID NOTA]],Table1[ID],0)))</f>
        <v/>
      </c>
      <c r="E22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867</v>
      </c>
      <c r="F220" s="6" t="str">
        <f>IF(KENKO[[#This Row],[NO. NOTA]]="","",INDEX([5]KE!$A:$A,MATCH(KENKO[[#This Row],[NO. NOTA]],[5]KE!$D:$D,0)))</f>
        <v/>
      </c>
      <c r="G220" s="3" t="str">
        <f>IF(KENKO[[#This Row],[ID NOTA]]="","",INDEX([6]!NOTA[TGL_H],MATCH(KENKO[[#This Row],[ID NOTA]],[6]!NOTA[ID],0)))</f>
        <v/>
      </c>
      <c r="H220" s="3" t="str">
        <f>IF(KENKO[[#This Row],[ID NOTA]]="","",INDEX([6]!NOTA[TGL.NOTA],MATCH(KENKO[[#This Row],[ID NOTA]],[6]!NOTA[ID],0)))</f>
        <v/>
      </c>
      <c r="I220" s="19" t="str">
        <f>IF(KENKO[[#This Row],[ID NOTA]]="","",INDEX([6]!NOTA[NO.NOTA],MATCH(KENKO[[#This Row],[ID NOTA]],[6]!NOTA[ID],0)))</f>
        <v/>
      </c>
      <c r="J220" s="4" t="s">
        <v>248</v>
      </c>
      <c r="K220" s="6" t="str">
        <f>""</f>
        <v/>
      </c>
      <c r="L220" s="6">
        <f ca="1">IF(KENKO[//]="","",IF(INDEX([6]!NOTA[QTY],KENKO[//]-2)="",INDEX([6]!NOTA[C],KENKO[//]-2),INDEX([6]!NOTA[QTY],KENKO[//]-2)))</f>
        <v>1</v>
      </c>
      <c r="M220" s="6" t="str">
        <f ca="1">IF(KENKO[//]="","",IF(INDEX([6]!NOTA[STN],KENKO[//]-2)="","CTN",INDEX([6]!NOTA[STN],KENKO[//]-2)))</f>
        <v>CTN</v>
      </c>
      <c r="N220" s="5">
        <f ca="1">IF(KENKO[[#This Row],[//]]="","",IF(INDEX([6]!NOTA[HARGA/ CTN],KENKO[[#This Row],[//]]-2)="",INDEX([6]!NOTA[HARGA SATUAN],KENKO[//]-2),INDEX([6]!NOTA[HARGA/ CTN],KENKO[[#This Row],[//]]-2)))</f>
        <v>975000</v>
      </c>
      <c r="O220" s="8">
        <f ca="1">IF(KENKO[[#This Row],[//]]="","",INDEX([6]!NOTA[DISC 1],KENKO[[#This Row],[//]]-2))</f>
        <v>0.17</v>
      </c>
      <c r="P220" s="8">
        <f ca="1">IF(KENKO[[#This Row],[//]]="","",INDEX([6]!NOTA[DISC 2],KENKO[[#This Row],[//]]-2))</f>
        <v>0</v>
      </c>
      <c r="Q220" s="5">
        <f ca="1">IF(KENKO[[#This Row],[//]]="","",INDEX([6]!NOTA[JUMLAH],KENKO[[#This Row],[//]]-2)*(100%-IF(ISNUMBER(KENKO[[#This Row],[DISC 1 (%)]]),KENKO[[#This Row],[DISC 1 (%)]],0)))</f>
        <v>809250</v>
      </c>
      <c r="R2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4" t="str">
        <f ca="1">IF(KENKO[[#This Row],[//]]="","",INDEX([6]!NOTA[NAMA BARANG],KENKO[[#This Row],[//]]-2))</f>
        <v>KENKO BUKU TAMU BT-3224-BTK (BATIK)</v>
      </c>
      <c r="V220" s="4" t="str">
        <f ca="1">LOWER(SUBSTITUTE(SUBSTITUTE(SUBSTITUTE(SUBSTITUTE(SUBSTITUTE(SUBSTITUTE(SUBSTITUTE(SUBSTITUTE(KENKO[[#This Row],[N.B.nota]]," ",""),"-",""),"(",""),")",""),".",""),",",""),"/",""),"""",""))</f>
        <v>kenkobukutamubt3224btkbatik</v>
      </c>
      <c r="W220" s="4" t="s">
        <v>137</v>
      </c>
      <c r="X220" s="4" t="str">
        <f ca="1">IF(KENKO[[#This Row],[N.B.nota]]="","",ADDRESS(ROW(KENKO[QB]),COLUMN(KENKO[QB]))&amp;":"&amp;ADDRESS(ROW(),COLUMN(KENKO[QB])))</f>
        <v>$D$3:$D$220</v>
      </c>
      <c r="Y220" s="14" t="str">
        <f ca="1">IF(KENKO[[#This Row],[//]]="","",HYPERLINK("[..\\DB.xlsx]DB!e"&amp;MATCH(KENKO[[#This Row],[concat]],[4]!db[NB NOTA_C],0)+1,"&gt;"))</f>
        <v>&gt;</v>
      </c>
    </row>
    <row r="221" spans="1:25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NOTA]]="","",HYPERLINK("[NOTA_.xlsx]NOTA!e"&amp;INDEX([6]!PAJAK[//],MATCH(KENKO[[#This Row],[ID NOTA]],[6]!PAJAK[ID],0)),"&gt;") )</f>
        <v/>
      </c>
      <c r="D221" s="6" t="str">
        <f>IF(KENKO[[#This Row],[ID NOTA]]="","",INDEX(Table1[QB],MATCH(KENKO[[#This Row],[ID NOTA]],Table1[ID],0)))</f>
        <v/>
      </c>
      <c r="E22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868</v>
      </c>
      <c r="F221" s="6" t="str">
        <f>IF(KENKO[[#This Row],[NO. NOTA]]="","",INDEX([5]KE!$A:$A,MATCH(KENKO[[#This Row],[NO. NOTA]],[5]KE!$D:$D,0)))</f>
        <v/>
      </c>
      <c r="G221" s="3" t="str">
        <f>IF(KENKO[[#This Row],[ID NOTA]]="","",INDEX([6]!NOTA[TGL_H],MATCH(KENKO[[#This Row],[ID NOTA]],[6]!NOTA[ID],0)))</f>
        <v/>
      </c>
      <c r="H221" s="3" t="str">
        <f>IF(KENKO[[#This Row],[ID NOTA]]="","",INDEX([6]!NOTA[TGL.NOTA],MATCH(KENKO[[#This Row],[ID NOTA]],[6]!NOTA[ID],0)))</f>
        <v/>
      </c>
      <c r="I221" s="19" t="str">
        <f>IF(KENKO[[#This Row],[ID NOTA]]="","",INDEX([6]!NOTA[NO.NOTA],MATCH(KENKO[[#This Row],[ID NOTA]],[6]!NOTA[ID],0)))</f>
        <v/>
      </c>
      <c r="J221" s="4" t="s">
        <v>167</v>
      </c>
      <c r="K221" s="6" t="str">
        <f>""</f>
        <v/>
      </c>
      <c r="L221" s="6">
        <f ca="1">IF(KENKO[//]="","",IF(INDEX([6]!NOTA[QTY],KENKO[//]-2)="",INDEX([6]!NOTA[C],KENKO[//]-2),INDEX([6]!NOTA[QTY],KENKO[//]-2)))</f>
        <v>5</v>
      </c>
      <c r="M221" s="6" t="str">
        <f ca="1">IF(KENKO[//]="","",IF(INDEX([6]!NOTA[STN],KENKO[//]-2)="","CTN",INDEX([6]!NOTA[STN],KENKO[//]-2)))</f>
        <v>CTN</v>
      </c>
      <c r="N221" s="5">
        <f ca="1">IF(KENKO[[#This Row],[//]]="","",IF(INDEX([6]!NOTA[HARGA/ CTN],KENKO[[#This Row],[//]]-2)="",INDEX([6]!NOTA[HARGA SATUAN],KENKO[//]-2),INDEX([6]!NOTA[HARGA/ CTN],KENKO[[#This Row],[//]]-2)))</f>
        <v>1954800</v>
      </c>
      <c r="O221" s="8">
        <f ca="1">IF(KENKO[[#This Row],[//]]="","",INDEX([6]!NOTA[DISC 1],KENKO[[#This Row],[//]]-2))</f>
        <v>0.17</v>
      </c>
      <c r="P221" s="8">
        <f ca="1">IF(KENKO[[#This Row],[//]]="","",INDEX([6]!NOTA[DISC 2],KENKO[[#This Row],[//]]-2))</f>
        <v>0</v>
      </c>
      <c r="Q221" s="5">
        <f ca="1">IF(KENKO[[#This Row],[//]]="","",INDEX([6]!NOTA[JUMLAH],KENKO[[#This Row],[//]]-2)*(100%-IF(ISNUMBER(KENKO[[#This Row],[DISC 1 (%)]]),KENKO[[#This Row],[DISC 1 (%)]],0)))</f>
        <v>8112420</v>
      </c>
      <c r="R2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1995630.0000000002</v>
      </c>
      <c r="S2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9743370</v>
      </c>
      <c r="T22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4" t="str">
        <f ca="1">IF(KENKO[[#This Row],[//]]="","",INDEX([6]!NOTA[NAMA BARANG],KENKO[[#This Row],[//]]-2))</f>
        <v>KENKO CORRECTION FLUID KE-01</v>
      </c>
      <c r="V22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21" s="4" t="s">
        <v>137</v>
      </c>
      <c r="X221" s="4" t="str">
        <f ca="1">IF(KENKO[[#This Row],[N.B.nota]]="","",ADDRESS(ROW(KENKO[QB]),COLUMN(KENKO[QB]))&amp;":"&amp;ADDRESS(ROW(),COLUMN(KENKO[QB])))</f>
        <v>$D$3:$D$221</v>
      </c>
      <c r="Y221" s="14" t="str">
        <f ca="1">IF(KENKO[[#This Row],[//]]="","",HYPERLINK("[..\\DB.xlsx]DB!e"&amp;MATCH(KENKO[[#This Row],[concat]],[4]!db[NB NOTA_C],0)+1,"&gt;"))</f>
        <v>&gt;</v>
      </c>
    </row>
    <row r="222" spans="1:25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NOTA]]="","",HYPERLINK("[NOTA_.xlsx]NOTA!e"&amp;INDEX([6]!PAJAK[//],MATCH(KENKO[[#This Row],[ID NOTA]],[6]!PAJAK[ID],0)),"&gt;") )</f>
        <v/>
      </c>
      <c r="D222" s="6" t="str">
        <f>IF(KENKO[[#This Row],[ID NOTA]]="","",INDEX(Table1[QB],MATCH(KENKO[[#This Row],[ID NOTA]],Table1[ID],0)))</f>
        <v/>
      </c>
      <c r="E22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2" s="6" t="str">
        <f>IF(KENKO[[#This Row],[NO. NOTA]]="","",INDEX([5]KE!$A:$A,MATCH(KENKO[[#This Row],[NO. NOTA]],[5]KE!$D:$D,0)))</f>
        <v/>
      </c>
      <c r="G222" s="3" t="str">
        <f>IF(KENKO[[#This Row],[ID NOTA]]="","",INDEX([6]!NOTA[TGL_H],MATCH(KENKO[[#This Row],[ID NOTA]],[6]!NOTA[ID],0)))</f>
        <v/>
      </c>
      <c r="H222" s="3" t="str">
        <f>IF(KENKO[[#This Row],[ID NOTA]]="","",INDEX([6]!NOTA[TGL.NOTA],MATCH(KENKO[[#This Row],[ID NOTA]],[6]!NOTA[ID],0)))</f>
        <v/>
      </c>
      <c r="I222" s="19" t="str">
        <f>IF(KENKO[[#This Row],[ID NOTA]]="","",INDEX([6]!NOTA[NO.NOTA],MATCH(KENKO[[#This Row],[ID NOTA]],[6]!NOTA[ID],0)))</f>
        <v/>
      </c>
      <c r="J222" s="4" t="s">
        <v>136</v>
      </c>
      <c r="K222" s="6" t="str">
        <f>""</f>
        <v/>
      </c>
      <c r="L222" s="6" t="str">
        <f ca="1">IF(KENKO[//]="","",IF(INDEX([6]!NOTA[QTY],KENKO[//]-2)="",INDEX([6]!NOTA[C],KENKO[//]-2),INDEX([6]!NOTA[QTY],KENKO[//]-2)))</f>
        <v/>
      </c>
      <c r="M222" s="6" t="str">
        <f ca="1">IF(KENKO[//]="","",IF(INDEX([6]!NOTA[STN],KENKO[//]-2)="","CTN",INDEX([6]!NOTA[STN],KENKO[//]-2)))</f>
        <v/>
      </c>
      <c r="N222" s="5" t="str">
        <f ca="1">IF(KENKO[[#This Row],[//]]="","",IF(INDEX([6]!NOTA[HARGA/ CTN],KENKO[[#This Row],[//]]-2)="",INDEX([6]!NOTA[HARGA SATUAN],KENKO[//]-2),INDEX([6]!NOTA[HARGA/ CTN],KENKO[[#This Row],[//]]-2)))</f>
        <v/>
      </c>
      <c r="O222" s="8" t="str">
        <f ca="1">IF(KENKO[[#This Row],[//]]="","",INDEX([6]!NOTA[DISC 1],KENKO[[#This Row],[//]]-2))</f>
        <v/>
      </c>
      <c r="P222" s="8" t="str">
        <f ca="1">IF(KENKO[[#This Row],[//]]="","",INDEX([6]!NOTA[DISC 2],KENKO[[#This Row],[//]]-2))</f>
        <v/>
      </c>
      <c r="Q222" s="5" t="str">
        <f ca="1">IF(KENKO[[#This Row],[//]]="","",INDEX([6]!NOTA[JUMLAH],KENKO[[#This Row],[//]]-2)*(100%-IF(ISNUMBER(KENKO[[#This Row],[DISC 1 (%)]]),KENKO[[#This Row],[DISC 1 (%)]],0)))</f>
        <v/>
      </c>
      <c r="R2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4" t="str">
        <f ca="1">IF(KENKO[[#This Row],[//]]="","",INDEX([6]!NOTA[NAMA BARANG],KENKO[[#This Row],[//]]-2))</f>
        <v/>
      </c>
      <c r="V222" s="4" t="str">
        <f ca="1">LOWER(SUBSTITUTE(SUBSTITUTE(SUBSTITUTE(SUBSTITUTE(SUBSTITUTE(SUBSTITUTE(SUBSTITUTE(SUBSTITUTE(KENKO[[#This Row],[N.B.nota]]," ",""),"-",""),"(",""),")",""),".",""),",",""),"/",""),"""",""))</f>
        <v/>
      </c>
      <c r="W222" s="4" t="s">
        <v>136</v>
      </c>
      <c r="X222" s="4" t="str">
        <f ca="1">IF(KENKO[[#This Row],[N.B.nota]]="","",ADDRESS(ROW(KENKO[QB]),COLUMN(KENKO[QB]))&amp;":"&amp;ADDRESS(ROW(),COLUMN(KENKO[QB])))</f>
        <v/>
      </c>
      <c r="Y222" s="14" t="str">
        <f ca="1">IF(KENKO[[#This Row],[//]]="","",HYPERLINK("[..\\DB.xlsx]DB!e"&amp;MATCH(KENKO[[#This Row],[concat]],[4]!db[NB NOTA_C],0)+1,"&gt;"))</f>
        <v/>
      </c>
    </row>
    <row r="223" spans="1:25" x14ac:dyDescent="0.25">
      <c r="A223" s="4" t="s">
        <v>120</v>
      </c>
      <c r="B223" s="6">
        <f ca="1">IF(KENKO[[#This Row],[N_ID]]="","",INDEX(Table1[ID],MATCH(KENKO[[#This Row],[N_ID]],Table1[N_ID],0)))</f>
        <v>167</v>
      </c>
      <c r="C223" s="6" t="str">
        <f ca="1">IF(KENKO[[#This Row],[ID NOTA]]="","",HYPERLINK("[NOTA_.xlsx]NOTA!e"&amp;INDEX([6]!PAJAK[//],MATCH(KENKO[[#This Row],[ID NOTA]],[6]!PAJAK[ID],0)),"&gt;") )</f>
        <v>&gt;</v>
      </c>
      <c r="D223" s="6">
        <f ca="1">IF(KENKO[[#This Row],[ID NOTA]]="","",INDEX(Table1[QB],MATCH(KENKO[[#This Row],[ID NOTA]],Table1[ID],0)))</f>
        <v>2</v>
      </c>
      <c r="E22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870</v>
      </c>
      <c r="F223" s="6" t="e">
        <f ca="1">IF(KENKO[[#This Row],[NO. NOTA]]="","",INDEX([5]KE!$A:$A,MATCH(KENKO[[#This Row],[NO. NOTA]],[5]KE!$D:$D,0)))</f>
        <v>#N/A</v>
      </c>
      <c r="G223" s="3">
        <f ca="1">IF(KENKO[[#This Row],[ID NOTA]]="","",INDEX([6]!NOTA[TGL_H],MATCH(KENKO[[#This Row],[ID NOTA]],[6]!NOTA[ID],0)))</f>
        <v>44771</v>
      </c>
      <c r="H223" s="3">
        <f ca="1">IF(KENKO[[#This Row],[ID NOTA]]="","",INDEX([6]!NOTA[TGL.NOTA],MATCH(KENKO[[#This Row],[ID NOTA]],[6]!NOTA[ID],0)))</f>
        <v>44769</v>
      </c>
      <c r="I223" s="19" t="str">
        <f ca="1">IF(KENKO[[#This Row],[ID NOTA]]="","",INDEX([6]!NOTA[NO.NOTA],MATCH(KENKO[[#This Row],[ID NOTA]],[6]!NOTA[ID],0)))</f>
        <v>22072516</v>
      </c>
      <c r="J223" s="4" t="s">
        <v>249</v>
      </c>
      <c r="K223" s="6" t="str">
        <f>""</f>
        <v/>
      </c>
      <c r="L223" s="6">
        <f ca="1">IF(KENKO[//]="","",IF(INDEX([6]!NOTA[QTY],KENKO[//]-2)="",INDEX([6]!NOTA[C],KENKO[//]-2),INDEX([6]!NOTA[QTY],KENKO[//]-2)))</f>
        <v>1</v>
      </c>
      <c r="M223" s="6" t="str">
        <f ca="1">IF(KENKO[//]="","",IF(INDEX([6]!NOTA[STN],KENKO[//]-2)="","CTN",INDEX([6]!NOTA[STN],KENKO[//]-2)))</f>
        <v>CTN</v>
      </c>
      <c r="N223" s="5">
        <f ca="1">IF(KENKO[[#This Row],[//]]="","",IF(INDEX([6]!NOTA[HARGA/ CTN],KENKO[[#This Row],[//]]-2)="",INDEX([6]!NOTA[HARGA SATUAN],KENKO[//]-2),INDEX([6]!NOTA[HARGA/ CTN],KENKO[[#This Row],[//]]-2)))</f>
        <v>1440000</v>
      </c>
      <c r="O223" s="8">
        <f ca="1">IF(KENKO[[#This Row],[//]]="","",INDEX([6]!NOTA[DISC 1],KENKO[[#This Row],[//]]-2))</f>
        <v>0.17</v>
      </c>
      <c r="P223" s="8">
        <f ca="1">IF(KENKO[[#This Row],[//]]="","",INDEX([6]!NOTA[DISC 2],KENKO[[#This Row],[//]]-2))</f>
        <v>0</v>
      </c>
      <c r="Q223" s="5">
        <f ca="1">IF(KENKO[[#This Row],[//]]="","",INDEX([6]!NOTA[JUMLAH],KENKO[[#This Row],[//]]-2)*(100%-IF(ISNUMBER(KENKO[[#This Row],[DISC 1 (%)]]),KENKO[[#This Row],[DISC 1 (%)]],0)))</f>
        <v>1195200</v>
      </c>
      <c r="R2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4" t="str">
        <f ca="1">IF(KENKO[[#This Row],[//]]="","",INDEX([6]!NOTA[NAMA BARANG],KENKO[[#This Row],[//]]-2))</f>
        <v>KENKO PUNCH NO.30 XL</v>
      </c>
      <c r="V223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223" s="4" t="s">
        <v>137</v>
      </c>
      <c r="X223" s="4" t="str">
        <f ca="1">IF(KENKO[[#This Row],[N.B.nota]]="","",ADDRESS(ROW(KENKO[QB]),COLUMN(KENKO[QB]))&amp;":"&amp;ADDRESS(ROW(),COLUMN(KENKO[QB])))</f>
        <v>$D$3:$D$223</v>
      </c>
      <c r="Y223" s="14" t="str">
        <f ca="1">IF(KENKO[[#This Row],[//]]="","",HYPERLINK("[..\\DB.xlsx]DB!e"&amp;MATCH(KENKO[[#This Row],[concat]],[4]!db[NB NOTA_C],0)+1,"&gt;"))</f>
        <v>&gt;</v>
      </c>
    </row>
    <row r="224" spans="1:25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NOTA]]="","",HYPERLINK("[NOTA_.xlsx]NOTA!e"&amp;INDEX([6]!PAJAK[//],MATCH(KENKO[[#This Row],[ID NOTA]],[6]!PAJAK[ID],0)),"&gt;") )</f>
        <v/>
      </c>
      <c r="D224" s="6" t="str">
        <f>IF(KENKO[[#This Row],[ID NOTA]]="","",INDEX(Table1[QB],MATCH(KENKO[[#This Row],[ID NOTA]],Table1[ID],0)))</f>
        <v/>
      </c>
      <c r="E22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871</v>
      </c>
      <c r="F224" s="6" t="str">
        <f>IF(KENKO[[#This Row],[NO. NOTA]]="","",INDEX([5]KE!$A:$A,MATCH(KENKO[[#This Row],[NO. NOTA]],[5]KE!$D:$D,0)))</f>
        <v/>
      </c>
      <c r="G224" s="3" t="str">
        <f>IF(KENKO[[#This Row],[ID NOTA]]="","",INDEX([6]!NOTA[TGL_H],MATCH(KENKO[[#This Row],[ID NOTA]],[6]!NOTA[ID],0)))</f>
        <v/>
      </c>
      <c r="H224" s="3" t="str">
        <f>IF(KENKO[[#This Row],[ID NOTA]]="","",INDEX([6]!NOTA[TGL.NOTA],MATCH(KENKO[[#This Row],[ID NOTA]],[6]!NOTA[ID],0)))</f>
        <v/>
      </c>
      <c r="I224" s="19" t="str">
        <f>IF(KENKO[[#This Row],[ID NOTA]]="","",INDEX([6]!NOTA[NO.NOTA],MATCH(KENKO[[#This Row],[ID NOTA]],[6]!NOTA[ID],0)))</f>
        <v/>
      </c>
      <c r="J224" s="4" t="s">
        <v>250</v>
      </c>
      <c r="K224" s="6" t="str">
        <f>""</f>
        <v/>
      </c>
      <c r="L224" s="6">
        <f ca="1">IF(KENKO[//]="","",IF(INDEX([6]!NOTA[QTY],KENKO[//]-2)="",INDEX([6]!NOTA[C],KENKO[//]-2),INDEX([6]!NOTA[QTY],KENKO[//]-2)))</f>
        <v>2</v>
      </c>
      <c r="M224" s="6" t="str">
        <f ca="1">IF(KENKO[//]="","",IF(INDEX([6]!NOTA[STN],KENKO[//]-2)="","CTN",INDEX([6]!NOTA[STN],KENKO[//]-2)))</f>
        <v>CTN</v>
      </c>
      <c r="N224" s="5">
        <f ca="1">IF(KENKO[[#This Row],[//]]="","",IF(INDEX([6]!NOTA[HARGA/ CTN],KENKO[[#This Row],[//]]-2)="",INDEX([6]!NOTA[HARGA SATUAN],KENKO[//]-2),INDEX([6]!NOTA[HARGA/ CTN],KENKO[[#This Row],[//]]-2)))</f>
        <v>1020000</v>
      </c>
      <c r="O224" s="8">
        <f ca="1">IF(KENKO[[#This Row],[//]]="","",INDEX([6]!NOTA[DISC 1],KENKO[[#This Row],[//]]-2))</f>
        <v>0.17</v>
      </c>
      <c r="P224" s="8">
        <f ca="1">IF(KENKO[[#This Row],[//]]="","",INDEX([6]!NOTA[DISC 2],KENKO[[#This Row],[//]]-2))</f>
        <v>0</v>
      </c>
      <c r="Q224" s="5">
        <f ca="1">IF(KENKO[[#This Row],[//]]="","",INDEX([6]!NOTA[JUMLAH],KENKO[[#This Row],[//]]-2)*(100%-IF(ISNUMBER(KENKO[[#This Row],[DISC 1 (%)]]),KENKO[[#This Row],[DISC 1 (%)]],0)))</f>
        <v>1693200</v>
      </c>
      <c r="R22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591600</v>
      </c>
      <c r="S22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2888400</v>
      </c>
      <c r="T22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4" t="str">
        <f ca="1">IF(KENKO[[#This Row],[//]]="","",INDEX([6]!NOTA[NAMA BARANG],KENKO[[#This Row],[//]]-2))</f>
        <v>KENKO PUNCH NO.85N</v>
      </c>
      <c r="V224" s="4" t="str">
        <f ca="1">LOWER(SUBSTITUTE(SUBSTITUTE(SUBSTITUTE(SUBSTITUTE(SUBSTITUTE(SUBSTITUTE(SUBSTITUTE(SUBSTITUTE(KENKO[[#This Row],[N.B.nota]]," ",""),"-",""),"(",""),")",""),".",""),",",""),"/",""),"""",""))</f>
        <v>kenkopunchno85n</v>
      </c>
      <c r="W224" s="4" t="s">
        <v>137</v>
      </c>
      <c r="X224" s="4" t="str">
        <f ca="1">IF(KENKO[[#This Row],[N.B.nota]]="","",ADDRESS(ROW(KENKO[QB]),COLUMN(KENKO[QB]))&amp;":"&amp;ADDRESS(ROW(),COLUMN(KENKO[QB])))</f>
        <v>$D$3:$D$224</v>
      </c>
      <c r="Y224" s="14" t="str">
        <f ca="1">IF(KENKO[[#This Row],[//]]="","",HYPERLINK("[..\\DB.xlsx]DB!e"&amp;MATCH(KENKO[[#This Row],[concat]],[4]!db[NB NOTA_C],0)+1,"&gt;"))</f>
        <v>&gt;</v>
      </c>
    </row>
  </sheetData>
  <conditionalFormatting sqref="A128:A147">
    <cfRule type="duplicateValues" dxfId="136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zoomScale="85" zoomScaleNormal="85" workbookViewId="0">
      <selection activeCell="G28" sqref="G28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4" t="s">
        <v>62</v>
      </c>
      <c r="B3" s="1">
        <f ca="1">IF(KALINDO[[#This Row],[N_ID]]="","",INDEX(Table1[ID],MATCH(KALINDO[[#This Row],[N_ID]],Table1[N_ID],0)))</f>
        <v>76</v>
      </c>
      <c r="C3" s="1" t="str">
        <f ca="1">IF(KALINDO[[#This Row],[ID NOTA]]="","",HYPERLINK("[NOTA_.xlsx]NOTA!e"&amp;INDEX([6]!PAJAK[//],MATCH(KALINDO[[#This Row],[ID NOTA]],[6]!PAJAK[ID],0)),"&gt;") )</f>
        <v>&gt;</v>
      </c>
      <c r="D3" s="1">
        <f ca="1">IF(KALINDO[[#This Row],[ID NOTA]]="","",INDEX(Table1[QB],MATCH(KALINDO[[#This Row],[ID NOTA]],Table1[ID],0)))</f>
        <v>4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376</v>
      </c>
      <c r="F3" s="1">
        <f ca="1">IF(KALINDO[[#This Row],[NO. NOTA]]="","",INDEX([5]KS!$A:$A,MATCH(KALINDO[[#This Row],[NO. NOTA]],[5]KS!$D:$D,0)))</f>
        <v>1</v>
      </c>
      <c r="G3" s="3">
        <f ca="1">IF(KALINDO[[#This Row],[ID NOTA]]="","",INDEX([6]!NOTA[TGL_H],MATCH(KALINDO[[#This Row],[ID NOTA]],[6]!NOTA[ID],0)))</f>
        <v>44756</v>
      </c>
      <c r="H3" s="3">
        <f ca="1">IF(KALINDO[[#This Row],[ID NOTA]]="","",INDEX([6]!NOTA[TGL.NOTA],MATCH(KALINDO[[#This Row],[ID NOTA]],[6]!NOTA[ID],0)))</f>
        <v>44753</v>
      </c>
      <c r="I3" t="str">
        <f ca="1">IF(KALINDO[[#This Row],[ID NOTA]]="","",INDEX([6]!NOTA[NO.NOTA],MATCH(KALINDO[[#This Row],[ID NOTA]],[6]!NOTA[ID],0)))</f>
        <v>SN22071265</v>
      </c>
      <c r="J3" t="s">
        <v>155</v>
      </c>
      <c r="K3" s="1">
        <f ca="1">IF(KALINDO[[#This Row],[//]]="","",IF(INDEX([6]!NOTA[C],KALINDO[[#This Row],[//]]-2)="","",INDEX([6]!NOTA[C],KALINDO[[#This Row],[//]]-2)))</f>
        <v>2</v>
      </c>
      <c r="L3" s="1">
        <f ca="1">IF(KALINDO[[#This Row],[//]]="","",INDEX([6]!NOTA[QTY],KALINDO[[#This Row],[//]]-2))</f>
        <v>240</v>
      </c>
      <c r="M3" s="1" t="str">
        <f ca="1">IF(KALINDO[[#This Row],[//]]="","",INDEX([6]!NOTA[STN],KALINDO[[#This Row],[//]]-2))</f>
        <v>PCS</v>
      </c>
      <c r="N3" s="5">
        <f ca="1">IF(KALINDO[[#This Row],[//]]="","",INDEX([6]!NOTA[HARGA SATUAN],KALINDO[[#This Row],[//]]-2))</f>
        <v>47000</v>
      </c>
      <c r="O3" s="8">
        <f ca="1">IF(KALINDO[[#This Row],[//]]="","",INDEX([6]!NOTA[DISC 1],KALINDO[[#This Row],[//]]-2))</f>
        <v>0.125</v>
      </c>
      <c r="P3" s="8">
        <f ca="1">IF(KALINDO[[#This Row],[//]]="","",INDEX([6]!NOTA[DISC 2],KALINDO[[#This Row],[//]]-2))</f>
        <v>0.05</v>
      </c>
      <c r="Q3" s="5">
        <f ca="1">IF(KALINDO[[#This Row],[//]]="","",INDEX([6]!NOTA[TOTAL],KALINDO[[#This Row],[//]]-2))</f>
        <v>9376500</v>
      </c>
      <c r="R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3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Row],[//]]="","",INDEX([6]!NOTA[NAMA BARANG],KALINDO[[#This Row],[//]]-2))</f>
        <v>CALCULATOR JOYKO CC-15A</v>
      </c>
      <c r="V3" t="str">
        <f ca="1">LOWER(SUBSTITUTE(SUBSTITUTE(SUBSTITUTE(SUBSTITUTE(SUBSTITUTE(SUBSTITUTE(KALINDO[[#This Row],[N.B.nota]]," ",""),"-",""),"(",""),")",""),".",""),",",""))</f>
        <v>calculatorjoykocc15a</v>
      </c>
      <c r="W3" t="s">
        <v>137</v>
      </c>
      <c r="X3" t="str">
        <f ca="1">IF(KALINDO[[#This Row],[N.B.nota]]="","",ADDRESS(ROW(KALINDO[QB]),COLUMN(KALINDO[QB]))&amp;":"&amp;ADDRESS(ROW(),COLUMN(KALINDO[QB])))</f>
        <v>$D$3:$D$3</v>
      </c>
      <c r="Y3" s="14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NOTA]]="","",HYPERLINK("[NOTA_.xlsx]NOTA!e"&amp;INDEX([6]!PAJAK[//],MATCH(KALINDO[[#This Row],[ID NOTA]],[6]!PAJAK[ID],0)),"&gt;")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377</v>
      </c>
      <c r="F4" s="1" t="str">
        <f>IF(KALINDO[[#This Row],[NO. NOTA]]="","",INDEX([5]KS!$A:$A,MATCH(KALINDO[[#This Row],[NO. NOTA]],[5]KS!$D:$D,0)))</f>
        <v/>
      </c>
      <c r="G4" s="3" t="str">
        <f>IF(KALINDO[[#This Row],[ID NOTA]]="","",INDEX([6]!NOTA[TGL_H],MATCH(KALINDO[[#This Row],[ID NOTA]],[6]!NOTA[ID],0)))</f>
        <v/>
      </c>
      <c r="H4" s="3" t="str">
        <f>IF(KALINDO[[#This Row],[ID NOTA]]="","",INDEX([6]!NOTA[TGL.NOTA],MATCH(KALINDO[[#This Row],[ID NOTA]],[6]!NOTA[ID],0)))</f>
        <v/>
      </c>
      <c r="I4" t="str">
        <f>IF(KALINDO[[#This Row],[ID NOTA]]="","",INDEX([6]!NOTA[NO.NOTA],MATCH(KALINDO[[#This Row],[ID NOTA]],[6]!NOTA[ID],0)))</f>
        <v/>
      </c>
      <c r="J4" t="s">
        <v>156</v>
      </c>
      <c r="K4" s="1" t="str">
        <f ca="1">IF(KALINDO[[#This Row],[//]]="","",IF(INDEX([6]!NOTA[C],KALINDO[[#This Row],[//]]-2)="","",INDEX([6]!NOTA[C],KALINDO[[#This Row],[//]]-2)))</f>
        <v/>
      </c>
      <c r="L4" s="1">
        <f ca="1">IF(KALINDO[[#This Row],[//]]="","",INDEX([6]!NOTA[QTY],KALINDO[[#This Row],[//]]-2))</f>
        <v>40</v>
      </c>
      <c r="M4" s="1" t="str">
        <f ca="1">IF(KALINDO[[#This Row],[//]]="","",INDEX([6]!NOTA[STN],KALINDO[[#This Row],[//]]-2))</f>
        <v>PCS</v>
      </c>
      <c r="N4" s="5">
        <f ca="1">IF(KALINDO[[#This Row],[//]]="","",INDEX([6]!NOTA[HARGA SATUAN],KALINDO[[#This Row],[//]]-2))</f>
        <v>47000</v>
      </c>
      <c r="O4" s="8">
        <f ca="1">IF(KALINDO[[#This Row],[//]]="","",INDEX([6]!NOTA[DISC 1],KALINDO[[#This Row],[//]]-2))</f>
        <v>0.125</v>
      </c>
      <c r="P4" s="8">
        <f ca="1">IF(KALINDO[[#This Row],[//]]="","",INDEX([6]!NOTA[DISC 2],KALINDO[[#This Row],[//]]-2))</f>
        <v>0.05</v>
      </c>
      <c r="Q4" s="5">
        <f ca="1">IF(KALINDO[[#This Row],[//]]="","",INDEX([6]!NOTA[TOTAL],KALINDO[[#This Row],[//]]-2))</f>
        <v>1562750</v>
      </c>
      <c r="R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4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Row],[//]]="","",INDEX([6]!NOTA[NAMA BARANG],KALINDO[[#This Row],[//]]-2))</f>
        <v>CALCULATOR JOYKO CC-8CO BLUE</v>
      </c>
      <c r="V4" t="str">
        <f ca="1">LOWER(SUBSTITUTE(SUBSTITUTE(SUBSTITUTE(SUBSTITUTE(SUBSTITUTE(SUBSTITUTE(KALINDO[[#This Row],[N.B.nota]]," ",""),"-",""),"(",""),")",""),".",""),",",""))</f>
        <v>calculatorjoykocc8coblue</v>
      </c>
      <c r="W4" t="s">
        <v>137</v>
      </c>
      <c r="X4" t="str">
        <f ca="1">IF(KALINDO[[#This Row],[N.B.nota]]="","",ADDRESS(ROW(KALINDO[QB]),COLUMN(KALINDO[QB]))&amp;":"&amp;ADDRESS(ROW(),COLUMN(KALINDO[QB])))</f>
        <v>$D$3:$D$4</v>
      </c>
      <c r="Y4" s="14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NOTA]]="","",HYPERLINK("[NOTA_.xlsx]NOTA!e"&amp;INDEX([6]!PAJAK[//],MATCH(KALINDO[[#This Row],[ID NOTA]],[6]!PAJAK[ID],0)),"&gt;")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378</v>
      </c>
      <c r="F5" s="1" t="str">
        <f>IF(KALINDO[[#This Row],[NO. NOTA]]="","",INDEX([5]KS!$A:$A,MATCH(KALINDO[[#This Row],[NO. NOTA]],[5]KS!$D:$D,0)))</f>
        <v/>
      </c>
      <c r="G5" s="3" t="str">
        <f>IF(KALINDO[[#This Row],[ID NOTA]]="","",INDEX([6]!NOTA[TGL_H],MATCH(KALINDO[[#This Row],[ID NOTA]],[6]!NOTA[ID],0)))</f>
        <v/>
      </c>
      <c r="H5" s="3" t="str">
        <f>IF(KALINDO[[#This Row],[ID NOTA]]="","",INDEX([6]!NOTA[TGL.NOTA],MATCH(KALINDO[[#This Row],[ID NOTA]],[6]!NOTA[ID],0)))</f>
        <v/>
      </c>
      <c r="I5" t="str">
        <f>IF(KALINDO[[#This Row],[ID NOTA]]="","",INDEX([6]!NOTA[NO.NOTA],MATCH(KALINDO[[#This Row],[ID NOTA]],[6]!NOTA[ID],0)))</f>
        <v/>
      </c>
      <c r="J5" t="s">
        <v>157</v>
      </c>
      <c r="K5" s="1" t="str">
        <f ca="1">IF(KALINDO[[#This Row],[//]]="","",IF(INDEX([6]!NOTA[C],KALINDO[[#This Row],[//]]-2)="","",INDEX([6]!NOTA[C],KALINDO[[#This Row],[//]]-2)))</f>
        <v/>
      </c>
      <c r="L5" s="1">
        <f ca="1">IF(KALINDO[[#This Row],[//]]="","",INDEX([6]!NOTA[QTY],KALINDO[[#This Row],[//]]-2))</f>
        <v>40</v>
      </c>
      <c r="M5" s="1" t="str">
        <f ca="1">IF(KALINDO[[#This Row],[//]]="","",INDEX([6]!NOTA[STN],KALINDO[[#This Row],[//]]-2))</f>
        <v>PCS</v>
      </c>
      <c r="N5" s="5">
        <f ca="1">IF(KALINDO[[#This Row],[//]]="","",INDEX([6]!NOTA[HARGA SATUAN],KALINDO[[#This Row],[//]]-2))</f>
        <v>47000</v>
      </c>
      <c r="O5" s="8">
        <f ca="1">IF(KALINDO[[#This Row],[//]]="","",INDEX([6]!NOTA[DISC 1],KALINDO[[#This Row],[//]]-2))</f>
        <v>0.125</v>
      </c>
      <c r="P5" s="8">
        <f ca="1">IF(KALINDO[[#This Row],[//]]="","",INDEX([6]!NOTA[DISC 2],KALINDO[[#This Row],[//]]-2))</f>
        <v>0.05</v>
      </c>
      <c r="Q5" s="5">
        <f ca="1">IF(KALINDO[[#This Row],[//]]="","",INDEX([6]!NOTA[TOTAL],KALINDO[[#This Row],[//]]-2))</f>
        <v>1562750</v>
      </c>
      <c r="R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5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Row],[//]]="","",INDEX([6]!NOTA[NAMA BARANG],KALINDO[[#This Row],[//]]-2))</f>
        <v>CALCULATOR JOYKO CC-8CO GREEN</v>
      </c>
      <c r="V5" t="str">
        <f ca="1">LOWER(SUBSTITUTE(SUBSTITUTE(SUBSTITUTE(SUBSTITUTE(SUBSTITUTE(SUBSTITUTE(KALINDO[[#This Row],[N.B.nota]]," ",""),"-",""),"(",""),")",""),".",""),",",""))</f>
        <v>calculatorjoykocc8cogreen</v>
      </c>
      <c r="W5" t="s">
        <v>137</v>
      </c>
      <c r="X5" t="str">
        <f ca="1">IF(KALINDO[[#This Row],[N.B.nota]]="","",ADDRESS(ROW(KALINDO[QB]),COLUMN(KALINDO[QB]))&amp;":"&amp;ADDRESS(ROW(),COLUMN(KALINDO[QB])))</f>
        <v>$D$3:$D$5</v>
      </c>
      <c r="Y5" s="14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NOTA]]="","",HYPERLINK("[NOTA_.xlsx]NOTA!e"&amp;INDEX([6]!PAJAK[//],MATCH(KALINDO[[#This Row],[ID NOTA]],[6]!PAJAK[ID],0)),"&gt;")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379</v>
      </c>
      <c r="F6" s="1" t="str">
        <f>IF(KALINDO[[#This Row],[NO. NOTA]]="","",INDEX([5]KS!$A:$A,MATCH(KALINDO[[#This Row],[NO. NOTA]],[5]KS!$D:$D,0)))</f>
        <v/>
      </c>
      <c r="G6" s="3" t="str">
        <f>IF(KALINDO[[#This Row],[ID NOTA]]="","",INDEX([6]!NOTA[TGL_H],MATCH(KALINDO[[#This Row],[ID NOTA]],[6]!NOTA[ID],0)))</f>
        <v/>
      </c>
      <c r="H6" s="3" t="str">
        <f>IF(KALINDO[[#This Row],[ID NOTA]]="","",INDEX([6]!NOTA[TGL.NOTA],MATCH(KALINDO[[#This Row],[ID NOTA]],[6]!NOTA[ID],0)))</f>
        <v/>
      </c>
      <c r="I6" t="str">
        <f>IF(KALINDO[[#This Row],[ID NOTA]]="","",INDEX([6]!NOTA[NO.NOTA],MATCH(KALINDO[[#This Row],[ID NOTA]],[6]!NOTA[ID],0)))</f>
        <v/>
      </c>
      <c r="J6" t="s">
        <v>158</v>
      </c>
      <c r="K6" s="1" t="str">
        <f ca="1">IF(KALINDO[[#This Row],[//]]="","",IF(INDEX([6]!NOTA[C],KALINDO[[#This Row],[//]]-2)="","",INDEX([6]!NOTA[C],KALINDO[[#This Row],[//]]-2)))</f>
        <v/>
      </c>
      <c r="L6" s="1">
        <f ca="1">IF(KALINDO[[#This Row],[//]]="","",INDEX([6]!NOTA[QTY],KALINDO[[#This Row],[//]]-2))</f>
        <v>40</v>
      </c>
      <c r="M6" s="1" t="str">
        <f ca="1">IF(KALINDO[[#This Row],[//]]="","",INDEX([6]!NOTA[STN],KALINDO[[#This Row],[//]]-2))</f>
        <v>PCS</v>
      </c>
      <c r="N6" s="5">
        <f ca="1">IF(KALINDO[[#This Row],[//]]="","",INDEX([6]!NOTA[HARGA SATUAN],KALINDO[[#This Row],[//]]-2))</f>
        <v>47000</v>
      </c>
      <c r="O6" s="8">
        <f ca="1">IF(KALINDO[[#This Row],[//]]="","",INDEX([6]!NOTA[DISC 1],KALINDO[[#This Row],[//]]-2))</f>
        <v>0.125</v>
      </c>
      <c r="P6" s="8">
        <f ca="1">IF(KALINDO[[#This Row],[//]]="","",INDEX([6]!NOTA[DISC 2],KALINDO[[#This Row],[//]]-2))</f>
        <v>0.05</v>
      </c>
      <c r="Q6" s="5">
        <f ca="1">IF(KALINDO[[#This Row],[//]]="","",INDEX([6]!NOTA[TOTAL],KALINDO[[#This Row],[//]]-2))</f>
        <v>1562750</v>
      </c>
      <c r="R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14064750</v>
      </c>
      <c r="T6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Row],[//]]="","",INDEX([6]!NOTA[NAMA BARANG],KALINDO[[#This Row],[//]]-2))</f>
        <v>CALCULATOR JOYKO CC-8CO ORANGE</v>
      </c>
      <c r="V6" t="str">
        <f ca="1">LOWER(SUBSTITUTE(SUBSTITUTE(SUBSTITUTE(SUBSTITUTE(SUBSTITUTE(SUBSTITUTE(KALINDO[[#This Row],[N.B.nota]]," ",""),"-",""),"(",""),")",""),".",""),",",""))</f>
        <v>calculatorjoykocc8coorange</v>
      </c>
      <c r="W6" t="s">
        <v>137</v>
      </c>
      <c r="X6" t="str">
        <f ca="1">IF(KALINDO[[#This Row],[N.B.nota]]="","",ADDRESS(ROW(KALINDO[QB]),COLUMN(KALINDO[QB]))&amp;":"&amp;ADDRESS(ROW(),COLUMN(KALINDO[QB])))</f>
        <v>$D$3:$D$6</v>
      </c>
      <c r="Y6" s="14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NOTA]]="","",HYPERLINK("[NOTA_.xlsx]NOTA!e"&amp;INDEX([6]!PAJAK[//],MATCH(KALINDO[[#This Row],[ID NOTA]],[6]!PAJAK[ID],0)),"&gt;")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7" s="1" t="str">
        <f>IF(KALINDO[[#This Row],[NO. NOTA]]="","",INDEX([5]KS!$A:$A,MATCH(KALINDO[[#This Row],[NO. NOTA]],[5]KS!$D:$D,0)))</f>
        <v/>
      </c>
      <c r="G7" s="3" t="str">
        <f>IF(KALINDO[[#This Row],[ID NOTA]]="","",INDEX([6]!NOTA[TGL_H],MATCH(KALINDO[[#This Row],[ID NOTA]],[6]!NOTA[ID],0)))</f>
        <v/>
      </c>
      <c r="H7" s="3" t="str">
        <f>IF(KALINDO[[#This Row],[ID NOTA]]="","",INDEX([6]!NOTA[TGL.NOTA],MATCH(KALINDO[[#This Row],[ID NOTA]],[6]!NOTA[ID],0)))</f>
        <v/>
      </c>
      <c r="I7" t="str">
        <f>IF(KALINDO[[#This Row],[ID NOTA]]="","",INDEX([6]!NOTA[NO.NOTA],MATCH(KALINDO[[#This Row],[ID NOTA]],[6]!NOTA[ID],0)))</f>
        <v/>
      </c>
      <c r="J7" t="s">
        <v>136</v>
      </c>
      <c r="K7" s="1" t="str">
        <f ca="1">IF(KALINDO[[#This Row],[//]]="","",IF(INDEX([6]!NOTA[C],KALINDO[[#This Row],[//]]-2)="","",INDEX([6]!NOTA[C],KALINDO[[#This Row],[//]]-2)))</f>
        <v/>
      </c>
      <c r="L7" s="1" t="str">
        <f ca="1">IF(KALINDO[[#This Row],[//]]="","",INDEX([6]!NOTA[QTY],KALINDO[[#This Row],[//]]-2))</f>
        <v/>
      </c>
      <c r="M7" s="1" t="str">
        <f ca="1">IF(KALINDO[[#This Row],[//]]="","",INDEX([6]!NOTA[STN],KALINDO[[#This Row],[//]]-2))</f>
        <v/>
      </c>
      <c r="N7" s="5" t="str">
        <f ca="1">IF(KALINDO[[#This Row],[//]]="","",INDEX([6]!NOTA[HARGA SATUAN],KALINDO[[#This Row],[//]]-2))</f>
        <v/>
      </c>
      <c r="O7" s="8" t="str">
        <f ca="1">IF(KALINDO[[#This Row],[//]]="","",INDEX([6]!NOTA[DISC 1],KALINDO[[#This Row],[//]]-2))</f>
        <v/>
      </c>
      <c r="P7" s="8" t="str">
        <f ca="1">IF(KALINDO[[#This Row],[//]]="","",INDEX([6]!NOTA[DISC 2],KALINDO[[#This Row],[//]]-2))</f>
        <v/>
      </c>
      <c r="Q7" s="5" t="str">
        <f ca="1">IF(KALINDO[[#This Row],[//]]="","",INDEX([6]!NOTA[TOTAL],KALINDO[[#This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7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Row],[//]]="","",INDEX([6]!NOTA[NAMA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">
        <v>136</v>
      </c>
      <c r="X7" t="str">
        <f ca="1">IF(KALINDO[[#This Row],[N.B.nota]]="","",ADDRESS(ROW(KALINDO[QB]),COLUMN(KALINDO[QB]))&amp;":"&amp;ADDRESS(ROW(),COLUMN(KALINDO[QB])))</f>
        <v/>
      </c>
      <c r="Y7" s="14" t="str">
        <f ca="1">IF(KALINDO[[#This Row],[//]]="","",HYPERLINK("[../DB.xlsx]DB!e"&amp;MATCH(KALINDO[[#This Row],[concat]],[4]!db[NB NOTA_C],0)+1,"&gt;"))</f>
        <v/>
      </c>
    </row>
    <row r="8" spans="1:25" x14ac:dyDescent="0.25">
      <c r="A8" s="4" t="s">
        <v>83</v>
      </c>
      <c r="B8" s="1">
        <f ca="1">IF(KALINDO[[#This Row],[N_ID]]="","",INDEX(Table1[ID],MATCH(KALINDO[[#This Row],[N_ID]],Table1[N_ID],0)))</f>
        <v>102</v>
      </c>
      <c r="C8" s="1" t="str">
        <f ca="1">IF(KALINDO[[#This Row],[ID NOTA]]="","",HYPERLINK("[NOTA_.xlsx]NOTA!e"&amp;INDEX([6]!PAJAK[//],MATCH(KALINDO[[#This Row],[ID NOTA]],[6]!PAJAK[ID],0)),"&gt;") )</f>
        <v>&gt;</v>
      </c>
      <c r="D8" s="1">
        <f ca="1">IF(KALINDO[[#This Row],[ID NOTA]]="","",INDEX(Table1[QB],MATCH(KALINDO[[#This Row],[ID NOTA]],Table1[ID],0)))</f>
        <v>4</v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513</v>
      </c>
      <c r="F8" s="1">
        <f ca="1">IF(KALINDO[[#This Row],[NO. NOTA]]="","",INDEX([5]KS!$A:$A,MATCH(KALINDO[[#This Row],[NO. NOTA]],[5]KS!$D:$D,0)))</f>
        <v>2</v>
      </c>
      <c r="G8" s="3">
        <f ca="1">IF(KALINDO[[#This Row],[ID NOTA]]="","",INDEX([6]!NOTA[TGL_H],MATCH(KALINDO[[#This Row],[ID NOTA]],[6]!NOTA[ID],0)))</f>
        <v>44760</v>
      </c>
      <c r="H8" s="3">
        <f ca="1">IF(KALINDO[[#This Row],[ID NOTA]]="","",INDEX([6]!NOTA[TGL.NOTA],MATCH(KALINDO[[#This Row],[ID NOTA]],[6]!NOTA[ID],0)))</f>
        <v>44755</v>
      </c>
      <c r="I8" t="str">
        <f ca="1">IF(KALINDO[[#This Row],[ID NOTA]]="","",INDEX([6]!NOTA[NO.NOTA],MATCH(KALINDO[[#This Row],[ID NOTA]],[6]!NOTA[ID],0)))</f>
        <v>SN22071278</v>
      </c>
      <c r="J8" t="s">
        <v>155</v>
      </c>
      <c r="K8" s="1">
        <f ca="1">IF(KALINDO[[#This Row],[//]]="","",IF(INDEX([6]!NOTA[C],KALINDO[[#This Row],[//]]-2)="","",INDEX([6]!NOTA[C],KALINDO[[#This Row],[//]]-2)))</f>
        <v>1</v>
      </c>
      <c r="L8" s="1">
        <f ca="1">IF(KALINDO[[#This Row],[//]]="","",INDEX([6]!NOTA[QTY],KALINDO[[#This Row],[//]]-2))</f>
        <v>120</v>
      </c>
      <c r="M8" s="1" t="str">
        <f ca="1">IF(KALINDO[[#This Row],[//]]="","",INDEX([6]!NOTA[STN],KALINDO[[#This Row],[//]]-2))</f>
        <v>PCS</v>
      </c>
      <c r="N8" s="5">
        <f ca="1">IF(KALINDO[[#This Row],[//]]="","",INDEX([6]!NOTA[HARGA SATUAN],KALINDO[[#This Row],[//]]-2))</f>
        <v>47000</v>
      </c>
      <c r="O8" s="8">
        <f ca="1">IF(KALINDO[[#This Row],[//]]="","",INDEX([6]!NOTA[DISC 1],KALINDO[[#This Row],[//]]-2))</f>
        <v>0.125</v>
      </c>
      <c r="P8" s="8">
        <f ca="1">IF(KALINDO[[#This Row],[//]]="","",INDEX([6]!NOTA[DISC 2],KALINDO[[#This Row],[//]]-2))</f>
        <v>0.05</v>
      </c>
      <c r="Q8" s="5">
        <f ca="1">IF(KALINDO[[#This Row],[//]]="","",INDEX([6]!NOTA[TOTAL],KALINDO[[#This Row],[//]]-2))</f>
        <v>4688250</v>
      </c>
      <c r="R8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8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Row],[//]]="","",INDEX([6]!NOTA[NAMA BARANG],KALINDO[[#This Row],[//]]-2))</f>
        <v>CALCULATOR JOYKO CC-15A</v>
      </c>
      <c r="V8" t="str">
        <f ca="1">LOWER(SUBSTITUTE(SUBSTITUTE(SUBSTITUTE(SUBSTITUTE(SUBSTITUTE(SUBSTITUTE(KALINDO[[#This Row],[N.B.nota]]," ",""),"-",""),"(",""),")",""),".",""),",",""))</f>
        <v>calculatorjoykocc15a</v>
      </c>
      <c r="W8" t="s">
        <v>137</v>
      </c>
      <c r="X8" t="str">
        <f ca="1">IF(KALINDO[[#This Row],[N.B.nota]]="","",ADDRESS(ROW(KALINDO[QB]),COLUMN(KALINDO[QB]))&amp;":"&amp;ADDRESS(ROW(),COLUMN(KALINDO[QB])))</f>
        <v>$D$3:$D$8</v>
      </c>
      <c r="Y8" s="14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NOTA]]="","",HYPERLINK("[NOTA_.xlsx]NOTA!e"&amp;INDEX([6]!PAJAK[//],MATCH(KALINDO[[#This Row],[ID NOTA]],[6]!PAJAK[ID],0)),"&gt;")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514</v>
      </c>
      <c r="F9" s="6" t="str">
        <f>IF(KALINDO[[#This Row],[NO. NOTA]]="","",INDEX([5]KS!$A:$A,MATCH(KALINDO[[#This Row],[NO. NOTA]],[5]KS!$D:$D,0)))</f>
        <v/>
      </c>
      <c r="G9" s="3" t="str">
        <f>IF(KALINDO[[#This Row],[ID NOTA]]="","",INDEX([6]!NOTA[TGL_H],MATCH(KALINDO[[#This Row],[ID NOTA]],[6]!NOTA[ID],0)))</f>
        <v/>
      </c>
      <c r="H9" s="3" t="str">
        <f>IF(KALINDO[[#This Row],[ID NOTA]]="","",INDEX([6]!NOTA[TGL.NOTA],MATCH(KALINDO[[#This Row],[ID NOTA]],[6]!NOTA[ID],0)))</f>
        <v/>
      </c>
      <c r="I9" s="4" t="str">
        <f>IF(KALINDO[[#This Row],[ID NOTA]]="","",INDEX([6]!NOTA[NO.NOTA],MATCH(KALINDO[[#This Row],[ID NOTA]],[6]!NOTA[ID],0)))</f>
        <v/>
      </c>
      <c r="J9" s="4" t="s">
        <v>159</v>
      </c>
      <c r="K9" s="6">
        <f ca="1">IF(KALINDO[[#This Row],[//]]="","",IF(INDEX([6]!NOTA[C],KALINDO[[#This Row],[//]]-2)="","",INDEX([6]!NOTA[C],KALINDO[[#This Row],[//]]-2)))</f>
        <v>1</v>
      </c>
      <c r="L9" s="6">
        <f ca="1">IF(KALINDO[[#This Row],[//]]="","",INDEX([6]!NOTA[QTY],KALINDO[[#This Row],[//]]-2))</f>
        <v>120</v>
      </c>
      <c r="M9" s="6" t="str">
        <f ca="1">IF(KALINDO[[#This Row],[//]]="","",INDEX([6]!NOTA[STN],KALINDO[[#This Row],[//]]-2))</f>
        <v>PCS</v>
      </c>
      <c r="N9" s="5">
        <f ca="1">IF(KALINDO[[#This Row],[//]]="","",INDEX([6]!NOTA[HARGA SATUAN],KALINDO[[#This Row],[//]]-2))</f>
        <v>47000</v>
      </c>
      <c r="O9" s="8">
        <f ca="1">IF(KALINDO[[#This Row],[//]]="","",INDEX([6]!NOTA[DISC 1],KALINDO[[#This Row],[//]]-2))</f>
        <v>0.125</v>
      </c>
      <c r="P9" s="8">
        <f ca="1">IF(KALINDO[[#This Row],[//]]="","",INDEX([6]!NOTA[DISC 2],KALINDO[[#This Row],[//]]-2))</f>
        <v>0.05</v>
      </c>
      <c r="Q9" s="5">
        <f ca="1">IF(KALINDO[[#This Row],[//]]="","",INDEX([6]!NOTA[TOTAL],KALINDO[[#This Row],[//]]-2))</f>
        <v>4688250</v>
      </c>
      <c r="R9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9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Row],[//]]="","",INDEX([6]!NOTA[NAMA BARANG],KALINDO[[#This Row],[//]]-2))</f>
        <v>CALCULATOR JOYKO CC-8A</v>
      </c>
      <c r="V9" t="str">
        <f ca="1">LOWER(SUBSTITUTE(SUBSTITUTE(SUBSTITUTE(SUBSTITUTE(SUBSTITUTE(SUBSTITUTE(KALINDO[[#This Row],[N.B.nota]]," ",""),"-",""),"(",""),")",""),".",""),",",""))</f>
        <v>calculatorjoykocc8a</v>
      </c>
      <c r="W9" t="s">
        <v>137</v>
      </c>
      <c r="X9" t="str">
        <f ca="1">IF(KALINDO[[#This Row],[N.B.nota]]="","",ADDRESS(ROW(KALINDO[QB]),COLUMN(KALINDO[QB]))&amp;":"&amp;ADDRESS(ROW(),COLUMN(KALINDO[QB])))</f>
        <v>$D$3:$D$9</v>
      </c>
      <c r="Y9" s="22" t="str">
        <f ca="1">IF(KALINDO[[#This Row],[//]]="","",HYPERLINK("[../DB.xlsx]DB!e"&amp;MATCH(KALINDO[[#This Row],[concat]],[4]!db[NB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NOTA]]="","",HYPERLINK("[NOTA_.xlsx]NOTA!e"&amp;INDEX([6]!PAJAK[//],MATCH(KALINDO[[#This Row],[ID NOTA]],[6]!PAJAK[ID],0)),"&gt;")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515</v>
      </c>
      <c r="F10" s="6" t="str">
        <f>IF(KALINDO[[#This Row],[NO. NOTA]]="","",INDEX([5]KS!$A:$A,MATCH(KALINDO[[#This Row],[NO. NOTA]],[5]KS!$D:$D,0)))</f>
        <v/>
      </c>
      <c r="G10" s="3" t="str">
        <f>IF(KALINDO[[#This Row],[ID NOTA]]="","",INDEX([6]!NOTA[TGL_H],MATCH(KALINDO[[#This Row],[ID NOTA]],[6]!NOTA[ID],0)))</f>
        <v/>
      </c>
      <c r="H10" s="3" t="str">
        <f>IF(KALINDO[[#This Row],[ID NOTA]]="","",INDEX([6]!NOTA[TGL.NOTA],MATCH(KALINDO[[#This Row],[ID NOTA]],[6]!NOTA[ID],0)))</f>
        <v/>
      </c>
      <c r="I10" s="4" t="str">
        <f>IF(KALINDO[[#This Row],[ID NOTA]]="","",INDEX([6]!NOTA[NO.NOTA],MATCH(KALINDO[[#This Row],[ID NOTA]],[6]!NOTA[ID],0)))</f>
        <v/>
      </c>
      <c r="J10" s="4" t="s">
        <v>160</v>
      </c>
      <c r="K10" s="6">
        <f ca="1">IF(KALINDO[[#This Row],[//]]="","",IF(INDEX([6]!NOTA[C],KALINDO[[#This Row],[//]]-2)="","",INDEX([6]!NOTA[C],KALINDO[[#This Row],[//]]-2)))</f>
        <v>1</v>
      </c>
      <c r="L10" s="6">
        <f ca="1">IF(KALINDO[[#This Row],[//]]="","",INDEX([6]!NOTA[QTY],KALINDO[[#This Row],[//]]-2))</f>
        <v>120</v>
      </c>
      <c r="M10" s="6" t="str">
        <f ca="1">IF(KALINDO[[#This Row],[//]]="","",INDEX([6]!NOTA[STN],KALINDO[[#This Row],[//]]-2))</f>
        <v>PCS</v>
      </c>
      <c r="N10" s="5">
        <f ca="1">IF(KALINDO[[#This Row],[//]]="","",INDEX([6]!NOTA[HARGA SATUAN],KALINDO[[#This Row],[//]]-2))</f>
        <v>39000</v>
      </c>
      <c r="O10" s="8">
        <f ca="1">IF(KALINDO[[#This Row],[//]]="","",INDEX([6]!NOTA[DISC 1],KALINDO[[#This Row],[//]]-2))</f>
        <v>0.125</v>
      </c>
      <c r="P10" s="8">
        <f ca="1">IF(KALINDO[[#This Row],[//]]="","",INDEX([6]!NOTA[DISC 2],KALINDO[[#This Row],[//]]-2))</f>
        <v>0.05</v>
      </c>
      <c r="Q10" s="5">
        <f ca="1">IF(KALINDO[[#This Row],[//]]="","",INDEX([6]!NOTA[TOTAL],KALINDO[[#This Row],[//]]-2))</f>
        <v>3890250</v>
      </c>
      <c r="R10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0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Row],[//]]="","",INDEX([6]!NOTA[NAMA BARANG],KALINDO[[#This Row],[//]]-2))</f>
        <v>CALCULATOR JOYKO DTC-1313CH</v>
      </c>
      <c r="V10" t="str">
        <f ca="1">LOWER(SUBSTITUTE(SUBSTITUTE(SUBSTITUTE(SUBSTITUTE(SUBSTITUTE(SUBSTITUTE(KALINDO[[#This Row],[N.B.nota]]," ",""),"-",""),"(",""),")",""),".",""),",",""))</f>
        <v>calculatorjoykodtc1313ch</v>
      </c>
      <c r="W10" t="s">
        <v>137</v>
      </c>
      <c r="X10" t="str">
        <f ca="1">IF(KALINDO[[#This Row],[N.B.nota]]="","",ADDRESS(ROW(KALINDO[QB]),COLUMN(KALINDO[QB]))&amp;":"&amp;ADDRESS(ROW(),COLUMN(KALINDO[QB])))</f>
        <v>$D$3:$D$10</v>
      </c>
      <c r="Y10" s="22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NOTA]]="","",HYPERLINK("[NOTA_.xlsx]NOTA!e"&amp;INDEX([6]!PAJAK[//],MATCH(KALINDO[[#This Row],[ID NOTA]],[6]!PAJAK[ID],0)),"&gt;") )</f>
        <v/>
      </c>
      <c r="D11" s="6" t="str">
        <f>IF(KALINDO[[#This Row],[ID NOTA]]="","",INDEX(Table1[QB],MATCH(KALINDO[[#This Row],[ID NOTA]],Table1[ID],0)))</f>
        <v/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516</v>
      </c>
      <c r="F11" s="6" t="str">
        <f>IF(KALINDO[[#This Row],[NO. NOTA]]="","",INDEX([5]KS!$A:$A,MATCH(KALINDO[[#This Row],[NO. NOTA]],[5]KS!$D:$D,0)))</f>
        <v/>
      </c>
      <c r="G11" s="3" t="str">
        <f>IF(KALINDO[[#This Row],[ID NOTA]]="","",INDEX([6]!NOTA[TGL_H],MATCH(KALINDO[[#This Row],[ID NOTA]],[6]!NOTA[ID],0)))</f>
        <v/>
      </c>
      <c r="H11" s="3" t="str">
        <f>IF(KALINDO[[#This Row],[ID NOTA]]="","",INDEX([6]!NOTA[TGL.NOTA],MATCH(KALINDO[[#This Row],[ID NOTA]],[6]!NOTA[ID],0)))</f>
        <v/>
      </c>
      <c r="I11" s="4" t="str">
        <f>IF(KALINDO[[#This Row],[ID NOTA]]="","",INDEX([6]!NOTA[NO.NOTA],MATCH(KALINDO[[#This Row],[ID NOTA]],[6]!NOTA[ID],0)))</f>
        <v/>
      </c>
      <c r="J11" s="4" t="s">
        <v>161</v>
      </c>
      <c r="K11" s="6">
        <f ca="1">IF(KALINDO[[#This Row],[//]]="","",IF(INDEX([6]!NOTA[C],KALINDO[[#This Row],[//]]-2)="","",INDEX([6]!NOTA[C],KALINDO[[#This Row],[//]]-2)))</f>
        <v>1</v>
      </c>
      <c r="L11" s="6">
        <f ca="1">IF(KALINDO[[#This Row],[//]]="","",INDEX([6]!NOTA[QTY],KALINDO[[#This Row],[//]]-2))</f>
        <v>80</v>
      </c>
      <c r="M11" s="6" t="str">
        <f ca="1">IF(KALINDO[[#This Row],[//]]="","",INDEX([6]!NOTA[STN],KALINDO[[#This Row],[//]]-2))</f>
        <v>PCS</v>
      </c>
      <c r="N11" s="5">
        <f ca="1">IF(KALINDO[[#This Row],[//]]="","",INDEX([6]!NOTA[HARGA SATUAN],KALINDO[[#This Row],[//]]-2))</f>
        <v>54000</v>
      </c>
      <c r="O11" s="8">
        <f ca="1">IF(KALINDO[[#This Row],[//]]="","",INDEX([6]!NOTA[DISC 1],KALINDO[[#This Row],[//]]-2))</f>
        <v>0.125</v>
      </c>
      <c r="P11" s="8">
        <f ca="1">IF(KALINDO[[#This Row],[//]]="","",INDEX([6]!NOTA[DISC 2],KALINDO[[#This Row],[//]]-2))</f>
        <v>0.05</v>
      </c>
      <c r="Q11" s="5">
        <f ca="1">IF(KALINDO[[#This Row],[//]]="","",INDEX([6]!NOTA[TOTAL],KALINDO[[#This Row],[//]]-2))</f>
        <v>3591000</v>
      </c>
      <c r="R11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227763</v>
      </c>
      <c r="S11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16629987</v>
      </c>
      <c r="T11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Row],[//]]="","",INDEX([6]!NOTA[NAMA BARANG],KALINDO[[#This Row],[//]]-2))</f>
        <v>CALCULATOR JOYKO CC-40</v>
      </c>
      <c r="V11" t="str">
        <f ca="1">LOWER(SUBSTITUTE(SUBSTITUTE(SUBSTITUTE(SUBSTITUTE(SUBSTITUTE(SUBSTITUTE(KALINDO[[#This Row],[N.B.nota]]," ",""),"-",""),"(",""),")",""),".",""),",",""))</f>
        <v>calculatorjoykocc40</v>
      </c>
      <c r="W11" t="s">
        <v>137</v>
      </c>
      <c r="X11" t="str">
        <f ca="1">IF(KALINDO[[#This Row],[N.B.nota]]="","",ADDRESS(ROW(KALINDO[QB]),COLUMN(KALINDO[QB]))&amp;":"&amp;ADDRESS(ROW(),COLUMN(KALINDO[QB])))</f>
        <v>$D$3:$D$11</v>
      </c>
      <c r="Y11" s="22" t="str">
        <f ca="1">IF(KALINDO[[#This Row],[//]]="","",HYPERLINK("[../DB.xlsx]DB!e"&amp;MATCH(KALINDO[[#This Row],[concat]],[4]!db[NB NOTA_C],0)+1,"&gt;"))</f>
        <v>&gt;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NOTA]]="","",HYPERLINK("[NOTA_.xlsx]NOTA!e"&amp;INDEX([6]!PAJAK[//],MATCH(KALINDO[[#This Row],[ID NOTA]],[6]!PAJAK[ID],0)),"&gt;")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12" s="6" t="str">
        <f>IF(KALINDO[[#This Row],[NO. NOTA]]="","",INDEX([5]KS!$A:$A,MATCH(KALINDO[[#This Row],[NO. NOTA]],[5]KS!$D:$D,0)))</f>
        <v/>
      </c>
      <c r="G12" s="3" t="str">
        <f>IF(KALINDO[[#This Row],[ID NOTA]]="","",INDEX([6]!NOTA[TGL_H],MATCH(KALINDO[[#This Row],[ID NOTA]],[6]!NOTA[ID],0)))</f>
        <v/>
      </c>
      <c r="H12" s="3" t="str">
        <f>IF(KALINDO[[#This Row],[ID NOTA]]="","",INDEX([6]!NOTA[TGL.NOTA],MATCH(KALINDO[[#This Row],[ID NOTA]],[6]!NOTA[ID],0)))</f>
        <v/>
      </c>
      <c r="I12" s="4" t="str">
        <f>IF(KALINDO[[#This Row],[ID NOTA]]="","",INDEX([6]!NOTA[NO.NOTA],MATCH(KALINDO[[#This Row],[ID NOTA]],[6]!NOTA[ID],0)))</f>
        <v/>
      </c>
      <c r="J12" s="4" t="s">
        <v>136</v>
      </c>
      <c r="K12" s="6" t="str">
        <f ca="1">IF(KALINDO[[#This Row],[//]]="","",IF(INDEX([6]!NOTA[C],KALINDO[[#This Row],[//]]-2)="","",INDEX([6]!NOTA[C],KALINDO[[#This Row],[//]]-2)))</f>
        <v/>
      </c>
      <c r="L12" s="6" t="str">
        <f ca="1">IF(KALINDO[[#This Row],[//]]="","",INDEX([6]!NOTA[QTY],KALINDO[[#This Row],[//]]-2))</f>
        <v/>
      </c>
      <c r="M12" s="6" t="str">
        <f ca="1">IF(KALINDO[[#This Row],[//]]="","",INDEX([6]!NOTA[STN],KALINDO[[#This Row],[//]]-2))</f>
        <v/>
      </c>
      <c r="N12" s="5" t="str">
        <f ca="1">IF(KALINDO[[#This Row],[//]]="","",INDEX([6]!NOTA[HARGA SATUAN],KALINDO[[#This Row],[//]]-2))</f>
        <v/>
      </c>
      <c r="O12" s="8" t="str">
        <f ca="1">IF(KALINDO[[#This Row],[//]]="","",INDEX([6]!NOTA[DISC 1],KALINDO[[#This Row],[//]]-2))</f>
        <v/>
      </c>
      <c r="P12" s="8" t="str">
        <f ca="1">IF(KALINDO[[#This Row],[//]]="","",INDEX([6]!NOTA[DISC 2],KALINDO[[#This Row],[//]]-2))</f>
        <v/>
      </c>
      <c r="Q12" s="5" t="str">
        <f ca="1">IF(KALINDO[[#This Row],[//]]="","",INDEX([6]!NOTA[TOTAL],KALINDO[[#This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2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Row],[//]]="","",INDEX([6]!NOTA[NAMA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">
        <v>136</v>
      </c>
      <c r="X12" t="str">
        <f ca="1">IF(KALINDO[[#This Row],[N.B.nota]]="","",ADDRESS(ROW(KALINDO[QB]),COLUMN(KALINDO[QB]))&amp;":"&amp;ADDRESS(ROW(),COLUMN(KALINDO[QB])))</f>
        <v/>
      </c>
      <c r="Y12" s="22" t="str">
        <f ca="1">IF(KALINDO[[#This Row],[//]]="","",HYPERLINK("[../DB.xlsx]DB!e"&amp;MATCH(KALINDO[[#This Row],[concat]],[4]!db[NB NOTA_C],0)+1,"&gt;"))</f>
        <v/>
      </c>
    </row>
    <row r="13" spans="1:25" x14ac:dyDescent="0.25">
      <c r="A13" s="4" t="s">
        <v>131</v>
      </c>
      <c r="B13" s="6">
        <f ca="1">IF(KALINDO[[#This Row],[N_ID]]="","",INDEX(Table1[ID],MATCH(KALINDO[[#This Row],[N_ID]],Table1[N_ID],0)))</f>
        <v>179</v>
      </c>
      <c r="C13" s="6" t="str">
        <f ca="1">IF(KALINDO[[#This Row],[ID NOTA]]="","",HYPERLINK("[NOTA_.xlsx]NOTA!e"&amp;INDEX([6]!PAJAK[//],MATCH(KALINDO[[#This Row],[ID NOTA]],[6]!PAJAK[ID],0)),"&gt;") )</f>
        <v>&gt;</v>
      </c>
      <c r="D13" s="6">
        <f ca="1">IF(KALINDO[[#This Row],[ID NOTA]]="","",INDEX(Table1[QB],MATCH(KALINDO[[#This Row],[ID NOTA]],Table1[ID],0)))</f>
        <v>4</v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951</v>
      </c>
      <c r="F13" s="6">
        <f ca="1">IF(KALINDO[[#This Row],[NO. NOTA]]="","",INDEX([5]KS!$A:$A,MATCH(KALINDO[[#This Row],[NO. NOTA]],[5]KS!$D:$D,0)))</f>
        <v>3</v>
      </c>
      <c r="G13" s="3">
        <f ca="1">IF(KALINDO[[#This Row],[ID NOTA]]="","",INDEX([6]!NOTA[TGL_H],MATCH(KALINDO[[#This Row],[ID NOTA]],[6]!NOTA[ID],0)))</f>
        <v>44776</v>
      </c>
      <c r="H13" s="3">
        <f ca="1">IF(KALINDO[[#This Row],[ID NOTA]]="","",INDEX([6]!NOTA[TGL.NOTA],MATCH(KALINDO[[#This Row],[ID NOTA]],[6]!NOTA[ID],0)))</f>
        <v>44770</v>
      </c>
      <c r="I13" s="4" t="str">
        <f ca="1">IF(KALINDO[[#This Row],[ID NOTA]]="","",INDEX([6]!NOTA[NO.NOTA],MATCH(KALINDO[[#This Row],[ID NOTA]],[6]!NOTA[ID],0)))</f>
        <v>SN22071413</v>
      </c>
      <c r="J13" s="4" t="s">
        <v>162</v>
      </c>
      <c r="K13" s="6">
        <f ca="1">IF(KALINDO[[#This Row],[//]]="","",IF(INDEX([6]!NOTA[C],KALINDO[[#This Row],[//]]-2)="","",INDEX([6]!NOTA[C],KALINDO[[#This Row],[//]]-2)))</f>
        <v>1</v>
      </c>
      <c r="L13" s="6">
        <f ca="1">IF(KALINDO[[#This Row],[//]]="","",INDEX([6]!NOTA[QTY],KALINDO[[#This Row],[//]]-2))</f>
        <v>160</v>
      </c>
      <c r="M13" s="6" t="str">
        <f ca="1">IF(KALINDO[[#This Row],[//]]="","",INDEX([6]!NOTA[STN],KALINDO[[#This Row],[//]]-2))</f>
        <v>PCS</v>
      </c>
      <c r="N13" s="5">
        <f ca="1">IF(KALINDO[[#This Row],[//]]="","",INDEX([6]!NOTA[HARGA SATUAN],KALINDO[[#This Row],[//]]-2))</f>
        <v>32000</v>
      </c>
      <c r="O13" s="8">
        <f ca="1">IF(KALINDO[[#This Row],[//]]="","",INDEX([6]!NOTA[DISC 1],KALINDO[[#This Row],[//]]-2))</f>
        <v>0.125</v>
      </c>
      <c r="P13" s="8">
        <f ca="1">IF(KALINDO[[#This Row],[//]]="","",INDEX([6]!NOTA[DISC 2],KALINDO[[#This Row],[//]]-2))</f>
        <v>0.1</v>
      </c>
      <c r="Q13" s="5">
        <f ca="1">IF(KALINDO[[#This Row],[//]]="","",INDEX([6]!NOTA[TOTAL],KALINDO[[#This Row],[//]]-2))</f>
        <v>4032000</v>
      </c>
      <c r="R1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3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Row],[//]]="","",INDEX([6]!NOTA[NAMA BARANG],KALINDO[[#This Row],[//]]-2))</f>
        <v>CALCULATOR JOYKO CC-37</v>
      </c>
      <c r="V13" t="str">
        <f ca="1">LOWER(SUBSTITUTE(SUBSTITUTE(SUBSTITUTE(SUBSTITUTE(SUBSTITUTE(SUBSTITUTE(KALINDO[[#This Row],[N.B.nota]]," ",""),"-",""),"(",""),")",""),".",""),",",""))</f>
        <v>calculatorjoykocc37</v>
      </c>
      <c r="W13" t="s">
        <v>137</v>
      </c>
      <c r="X13" t="str">
        <f ca="1">IF(KALINDO[[#This Row],[N.B.nota]]="","",ADDRESS(ROW(KALINDO[QB]),COLUMN(KALINDO[QB]))&amp;":"&amp;ADDRESS(ROW(),COLUMN(KALINDO[QB])))</f>
        <v>$D$3:$D$13</v>
      </c>
      <c r="Y13" s="22" t="str">
        <f ca="1">IF(KALINDO[[#This Row],[//]]="","",HYPERLINK("[../DB.xlsx]DB!e"&amp;MATCH(KALINDO[[#This Row],[concat]],[4]!db[NB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NOTA]]="","",HYPERLINK("[NOTA_.xlsx]NOTA!e"&amp;INDEX([6]!PAJAK[//],MATCH(KALINDO[[#This Row],[ID NOTA]],[6]!PAJAK[ID],0)),"&gt;")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952</v>
      </c>
      <c r="F14" s="6" t="str">
        <f>IF(KALINDO[[#This Row],[NO. NOTA]]="","",INDEX([5]KS!$A:$A,MATCH(KALINDO[[#This Row],[NO. NOTA]],[5]KS!$D:$D,0)))</f>
        <v/>
      </c>
      <c r="G14" s="3" t="str">
        <f>IF(KALINDO[[#This Row],[ID NOTA]]="","",INDEX([6]!NOTA[TGL_H],MATCH(KALINDO[[#This Row],[ID NOTA]],[6]!NOTA[ID],0)))</f>
        <v/>
      </c>
      <c r="H14" s="3" t="str">
        <f>IF(KALINDO[[#This Row],[ID NOTA]]="","",INDEX([6]!NOTA[TGL.NOTA],MATCH(KALINDO[[#This Row],[ID NOTA]],[6]!NOTA[ID],0)))</f>
        <v/>
      </c>
      <c r="I14" s="4" t="str">
        <f>IF(KALINDO[[#This Row],[ID NOTA]]="","",INDEX([6]!NOTA[NO.NOTA],MATCH(KALINDO[[#This Row],[ID NOTA]],[6]!NOTA[ID],0)))</f>
        <v/>
      </c>
      <c r="J14" s="4" t="s">
        <v>163</v>
      </c>
      <c r="K14" s="6">
        <f ca="1">IF(KALINDO[[#This Row],[//]]="","",IF(INDEX([6]!NOTA[C],KALINDO[[#This Row],[//]]-2)="","",INDEX([6]!NOTA[C],KALINDO[[#This Row],[//]]-2)))</f>
        <v>1</v>
      </c>
      <c r="L14" s="6">
        <f ca="1">IF(KALINDO[[#This Row],[//]]="","",INDEX([6]!NOTA[QTY],KALINDO[[#This Row],[//]]-2))</f>
        <v>160</v>
      </c>
      <c r="M14" s="6" t="str">
        <f ca="1">IF(KALINDO[[#This Row],[//]]="","",INDEX([6]!NOTA[STN],KALINDO[[#This Row],[//]]-2))</f>
        <v>PCS</v>
      </c>
      <c r="N14" s="5">
        <f ca="1">IF(KALINDO[[#This Row],[//]]="","",INDEX([6]!NOTA[HARGA SATUAN],KALINDO[[#This Row],[//]]-2))</f>
        <v>27500</v>
      </c>
      <c r="O14" s="8">
        <f ca="1">IF(KALINDO[[#This Row],[//]]="","",INDEX([6]!NOTA[DISC 1],KALINDO[[#This Row],[//]]-2))</f>
        <v>0.125</v>
      </c>
      <c r="P14" s="8">
        <f ca="1">IF(KALINDO[[#This Row],[//]]="","",INDEX([6]!NOTA[DISC 2],KALINDO[[#This Row],[//]]-2))</f>
        <v>0.1</v>
      </c>
      <c r="Q14" s="5">
        <f ca="1">IF(KALINDO[[#This Row],[//]]="","",INDEX([6]!NOTA[TOTAL],KALINDO[[#This Row],[//]]-2))</f>
        <v>3465000</v>
      </c>
      <c r="R1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4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Row],[//]]="","",INDEX([6]!NOTA[NAMA BARANG],KALINDO[[#This Row],[//]]-2))</f>
        <v>CALCULATOR JOYKO CC-38</v>
      </c>
      <c r="V14" t="str">
        <f ca="1">LOWER(SUBSTITUTE(SUBSTITUTE(SUBSTITUTE(SUBSTITUTE(SUBSTITUTE(SUBSTITUTE(KALINDO[[#This Row],[N.B.nota]]," ",""),"-",""),"(",""),")",""),".",""),",",""))</f>
        <v>calculatorjoykocc38</v>
      </c>
      <c r="W14" t="s">
        <v>137</v>
      </c>
      <c r="X14" t="str">
        <f ca="1">IF(KALINDO[[#This Row],[N.B.nota]]="","",ADDRESS(ROW(KALINDO[QB]),COLUMN(KALINDO[QB]))&amp;":"&amp;ADDRESS(ROW(),COLUMN(KALINDO[QB])))</f>
        <v>$D$3:$D$14</v>
      </c>
      <c r="Y14" s="22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NOTA]]="","",HYPERLINK("[NOTA_.xlsx]NOTA!e"&amp;INDEX([6]!PAJAK[//],MATCH(KALINDO[[#This Row],[ID NOTA]],[6]!PAJAK[ID],0)),"&gt;")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953</v>
      </c>
      <c r="F15" s="6" t="str">
        <f>IF(KALINDO[[#This Row],[NO. NOTA]]="","",INDEX([5]KS!$A:$A,MATCH(KALINDO[[#This Row],[NO. NOTA]],[5]KS!$D:$D,0)))</f>
        <v/>
      </c>
      <c r="G15" s="3" t="str">
        <f>IF(KALINDO[[#This Row],[ID NOTA]]="","",INDEX([6]!NOTA[TGL_H],MATCH(KALINDO[[#This Row],[ID NOTA]],[6]!NOTA[ID],0)))</f>
        <v/>
      </c>
      <c r="H15" s="3" t="str">
        <f>IF(KALINDO[[#This Row],[ID NOTA]]="","",INDEX([6]!NOTA[TGL.NOTA],MATCH(KALINDO[[#This Row],[ID NOTA]],[6]!NOTA[ID],0)))</f>
        <v/>
      </c>
      <c r="I15" s="4" t="str">
        <f>IF(KALINDO[[#This Row],[ID NOTA]]="","",INDEX([6]!NOTA[NO.NOTA],MATCH(KALINDO[[#This Row],[ID NOTA]],[6]!NOTA[ID],0)))</f>
        <v/>
      </c>
      <c r="J15" s="4" t="s">
        <v>164</v>
      </c>
      <c r="K15" s="6">
        <f ca="1">IF(KALINDO[[#This Row],[//]]="","",IF(INDEX([6]!NOTA[C],KALINDO[[#This Row],[//]]-2)="","",INDEX([6]!NOTA[C],KALINDO[[#This Row],[//]]-2)))</f>
        <v>1</v>
      </c>
      <c r="L15" s="6">
        <f ca="1">IF(KALINDO[[#This Row],[//]]="","",INDEX([6]!NOTA[QTY],KALINDO[[#This Row],[//]]-2))</f>
        <v>120</v>
      </c>
      <c r="M15" s="6" t="str">
        <f ca="1">IF(KALINDO[[#This Row],[//]]="","",INDEX([6]!NOTA[STN],KALINDO[[#This Row],[//]]-2))</f>
        <v>PCS</v>
      </c>
      <c r="N15" s="5">
        <f ca="1">IF(KALINDO[[#This Row],[//]]="","",INDEX([6]!NOTA[HARGA SATUAN],KALINDO[[#This Row],[//]]-2))</f>
        <v>52000</v>
      </c>
      <c r="O15" s="8">
        <f ca="1">IF(KALINDO[[#This Row],[//]]="","",INDEX([6]!NOTA[DISC 1],KALINDO[[#This Row],[//]]-2))</f>
        <v>0.125</v>
      </c>
      <c r="P15" s="8">
        <f ca="1">IF(KALINDO[[#This Row],[//]]="","",INDEX([6]!NOTA[DISC 2],KALINDO[[#This Row],[//]]-2))</f>
        <v>0.1</v>
      </c>
      <c r="Q15" s="5">
        <f ca="1">IF(KALINDO[[#This Row],[//]]="","",INDEX([6]!NOTA[TOTAL],KALINDO[[#This Row],[//]]-2))</f>
        <v>4914000</v>
      </c>
      <c r="R1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5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Row],[//]]="","",INDEX([6]!NOTA[NAMA BARANG],KALINDO[[#This Row],[//]]-2))</f>
        <v>CALCULATOR JOYKO CC-46</v>
      </c>
      <c r="V15" t="str">
        <f ca="1">LOWER(SUBSTITUTE(SUBSTITUTE(SUBSTITUTE(SUBSTITUTE(SUBSTITUTE(SUBSTITUTE(KALINDO[[#This Row],[N.B.nota]]," ",""),"-",""),"(",""),")",""),".",""),",",""))</f>
        <v>calculatorjoykocc46</v>
      </c>
      <c r="W15" t="s">
        <v>137</v>
      </c>
      <c r="X15" t="str">
        <f ca="1">IF(KALINDO[[#This Row],[N.B.nota]]="","",ADDRESS(ROW(KALINDO[QB]),COLUMN(KALINDO[QB]))&amp;":"&amp;ADDRESS(ROW(),COLUMN(KALINDO[QB])))</f>
        <v>$D$3:$D$15</v>
      </c>
      <c r="Y15" s="22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NOTA]]="","",HYPERLINK("[NOTA_.xlsx]NOTA!e"&amp;INDEX([6]!PAJAK[//],MATCH(KALINDO[[#This Row],[ID NOTA]],[6]!PAJAK[ID],0)),"&gt;")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954</v>
      </c>
      <c r="F16" s="6" t="str">
        <f>IF(KALINDO[[#This Row],[NO. NOTA]]="","",INDEX([5]KS!$A:$A,MATCH(KALINDO[[#This Row],[NO. NOTA]],[5]KS!$D:$D,0)))</f>
        <v/>
      </c>
      <c r="G16" s="3" t="str">
        <f>IF(KALINDO[[#This Row],[ID NOTA]]="","",INDEX([6]!NOTA[TGL_H],MATCH(KALINDO[[#This Row],[ID NOTA]],[6]!NOTA[ID],0)))</f>
        <v/>
      </c>
      <c r="H16" s="3" t="str">
        <f>IF(KALINDO[[#This Row],[ID NOTA]]="","",INDEX([6]!NOTA[TGL.NOTA],MATCH(KALINDO[[#This Row],[ID NOTA]],[6]!NOTA[ID],0)))</f>
        <v/>
      </c>
      <c r="I16" s="4" t="str">
        <f>IF(KALINDO[[#This Row],[ID NOTA]]="","",INDEX([6]!NOTA[NO.NOTA],MATCH(KALINDO[[#This Row],[ID NOTA]],[6]!NOTA[ID],0)))</f>
        <v/>
      </c>
      <c r="J16" s="4" t="s">
        <v>165</v>
      </c>
      <c r="K16" s="6">
        <f ca="1">IF(KALINDO[[#This Row],[//]]="","",IF(INDEX([6]!NOTA[C],KALINDO[[#This Row],[//]]-2)="","",INDEX([6]!NOTA[C],KALINDO[[#This Row],[//]]-2)))</f>
        <v>1</v>
      </c>
      <c r="L16" s="6">
        <f ca="1">IF(KALINDO[[#This Row],[//]]="","",INDEX([6]!NOTA[QTY],KALINDO[[#This Row],[//]]-2))</f>
        <v>60</v>
      </c>
      <c r="M16" s="6" t="str">
        <f ca="1">IF(KALINDO[[#This Row],[//]]="","",INDEX([6]!NOTA[STN],KALINDO[[#This Row],[//]]-2))</f>
        <v>PCS</v>
      </c>
      <c r="N16" s="5">
        <f ca="1">IF(KALINDO[[#This Row],[//]]="","",INDEX([6]!NOTA[HARGA SATUAN],KALINDO[[#This Row],[//]]-2))</f>
        <v>66000</v>
      </c>
      <c r="O16" s="8">
        <f ca="1">IF(KALINDO[[#This Row],[//]]="","",INDEX([6]!NOTA[DISC 1],KALINDO[[#This Row],[//]]-2))</f>
        <v>0.125</v>
      </c>
      <c r="P16" s="8">
        <f ca="1">IF(KALINDO[[#This Row],[//]]="","",INDEX([6]!NOTA[DISC 2],KALINDO[[#This Row],[//]]-2))</f>
        <v>0.1</v>
      </c>
      <c r="Q16" s="5">
        <f ca="1">IF(KALINDO[[#This Row],[//]]="","",INDEX([6]!NOTA[TOTAL],KALINDO[[#This Row],[//]]-2))</f>
        <v>3118500</v>
      </c>
      <c r="R1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1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15529500</v>
      </c>
      <c r="T16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Row],[//]]="","",INDEX([6]!NOTA[NAMA BARANG],KALINDO[[#This Row],[//]]-2))</f>
        <v>CALCULATOR JOYKO DTC-1516</v>
      </c>
      <c r="V16" t="str">
        <f ca="1">LOWER(SUBSTITUTE(SUBSTITUTE(SUBSTITUTE(SUBSTITUTE(SUBSTITUTE(SUBSTITUTE(KALINDO[[#This Row],[N.B.nota]]," ",""),"-",""),"(",""),")",""),".",""),",",""))</f>
        <v>calculatorjoykodtc1516</v>
      </c>
      <c r="W16" t="s">
        <v>137</v>
      </c>
      <c r="X16" t="str">
        <f ca="1">IF(KALINDO[[#This Row],[N.B.nota]]="","",ADDRESS(ROW(KALINDO[QB]),COLUMN(KALINDO[QB]))&amp;":"&amp;ADDRESS(ROW(),COLUMN(KALINDO[QB])))</f>
        <v>$D$3:$D$16</v>
      </c>
      <c r="Y16" s="22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NOTA]]="","",HYPERLINK("[NOTA_.xlsx]NOTA!e"&amp;INDEX([6]!PAJAK[//],MATCH(KALINDO[[#This Row],[ID NOTA]],[6]!PAJAK[ID],0)),"&gt;")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17" s="6" t="str">
        <f>IF(KALINDO[[#This Row],[NO. NOTA]]="","",INDEX([5]KS!$A:$A,MATCH(KALINDO[[#This Row],[NO. NOTA]],[5]KS!$D:$D,0)))</f>
        <v/>
      </c>
      <c r="G17" s="3" t="str">
        <f>IF(KALINDO[[#This Row],[ID NOTA]]="","",INDEX([6]!NOTA[TGL_H],MATCH(KALINDO[[#This Row],[ID NOTA]],[6]!NOTA[ID],0)))</f>
        <v/>
      </c>
      <c r="H17" s="3" t="str">
        <f>IF(KALINDO[[#This Row],[ID NOTA]]="","",INDEX([6]!NOTA[TGL.NOTA],MATCH(KALINDO[[#This Row],[ID NOTA]],[6]!NOTA[ID],0)))</f>
        <v/>
      </c>
      <c r="I17" s="4" t="str">
        <f>IF(KALINDO[[#This Row],[ID NOTA]]="","",INDEX([6]!NOTA[NO.NOTA],MATCH(KALINDO[[#This Row],[ID NOTA]],[6]!NOTA[ID],0)))</f>
        <v/>
      </c>
      <c r="J17" s="4" t="s">
        <v>136</v>
      </c>
      <c r="K17" s="6"/>
      <c r="L17" s="6"/>
      <c r="M17" s="6"/>
      <c r="N17" s="5"/>
      <c r="O17" s="8"/>
      <c r="P17" s="8"/>
      <c r="Q17" s="5"/>
      <c r="R17" s="5"/>
      <c r="S17" s="5"/>
      <c r="T17" s="21"/>
      <c r="U17" s="4"/>
      <c r="Y17" s="22"/>
    </row>
    <row r="18" spans="1:25" x14ac:dyDescent="0.25">
      <c r="A18" s="4" t="s">
        <v>132</v>
      </c>
      <c r="B18" s="6">
        <f ca="1">IF(KALINDO[[#This Row],[N_ID]]="","",INDEX(Table1[ID],MATCH(KALINDO[[#This Row],[N_ID]],Table1[N_ID],0)))</f>
        <v>178</v>
      </c>
      <c r="C18" s="6" t="str">
        <f ca="1">IF(KALINDO[[#This Row],[ID NOTA]]="","",HYPERLINK("[NOTA_.xlsx]NOTA!e"&amp;INDEX([6]!PAJAK[//],MATCH(KALINDO[[#This Row],[ID NOTA]],[6]!PAJAK[ID],0)),"&gt;") )</f>
        <v>&gt;</v>
      </c>
      <c r="D18" s="6">
        <f ca="1">IF(KALINDO[[#This Row],[ID NOTA]]="","",INDEX(Table1[QB],MATCH(KALINDO[[#This Row],[ID NOTA]],Table1[ID],0)))</f>
        <v>1</v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949</v>
      </c>
      <c r="F18" s="6">
        <f ca="1">IF(KALINDO[[#This Row],[NO. NOTA]]="","",INDEX([5]KS!$A:$A,MATCH(KALINDO[[#This Row],[NO. NOTA]],[5]KS!$D:$D,0)))</f>
        <v>4</v>
      </c>
      <c r="G18" s="3">
        <f ca="1">IF(KALINDO[[#This Row],[ID NOTA]]="","",INDEX([6]!NOTA[TGL_H],MATCH(KALINDO[[#This Row],[ID NOTA]],[6]!NOTA[ID],0)))</f>
        <v>44776</v>
      </c>
      <c r="H18" s="3">
        <f ca="1">IF(KALINDO[[#This Row],[ID NOTA]]="","",INDEX([6]!NOTA[TGL.NOTA],MATCH(KALINDO[[#This Row],[ID NOTA]],[6]!NOTA[ID],0)))</f>
        <v>44770</v>
      </c>
      <c r="I18" s="4" t="str">
        <f ca="1">IF(KALINDO[[#This Row],[ID NOTA]]="","",INDEX([6]!NOTA[NO.NOTA],MATCH(KALINDO[[#This Row],[ID NOTA]],[6]!NOTA[ID],0)))</f>
        <v>SN22071418</v>
      </c>
      <c r="J18" s="4" t="s">
        <v>165</v>
      </c>
      <c r="K18" s="6">
        <f ca="1">IF(KALINDO[[#This Row],[//]]="","",IF(INDEX([6]!NOTA[C],KALINDO[[#This Row],[//]]-2)="","",INDEX([6]!NOTA[C],KALINDO[[#This Row],[//]]-2)))</f>
        <v>1</v>
      </c>
      <c r="L18" s="6">
        <f ca="1">IF(KALINDO[[#This Row],[//]]="","",INDEX([6]!NOTA[QTY],KALINDO[[#This Row],[//]]-2))</f>
        <v>60</v>
      </c>
      <c r="M18" s="6" t="str">
        <f ca="1">IF(KALINDO[[#This Row],[//]]="","",INDEX([6]!NOTA[STN],KALINDO[[#This Row],[//]]-2))</f>
        <v>PCS</v>
      </c>
      <c r="N18" s="5">
        <f ca="1">IF(KALINDO[[#This Row],[//]]="","",INDEX([6]!NOTA[HARGA SATUAN],KALINDO[[#This Row],[//]]-2))</f>
        <v>66000</v>
      </c>
      <c r="O18" s="8">
        <f ca="1">IF(KALINDO[[#This Row],[//]]="","",INDEX([6]!NOTA[DISC 1],KALINDO[[#This Row],[//]]-2))</f>
        <v>0.125</v>
      </c>
      <c r="P18" s="8">
        <f ca="1">IF(KALINDO[[#This Row],[//]]="","",INDEX([6]!NOTA[DISC 2],KALINDO[[#This Row],[//]]-2))</f>
        <v>0.1</v>
      </c>
      <c r="Q18" s="5">
        <f ca="1">IF(KALINDO[[#This Row],[//]]="","",INDEX([6]!NOTA[TOTAL],KALINDO[[#This Row],[//]]-2))</f>
        <v>3118500</v>
      </c>
      <c r="R18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18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3118500</v>
      </c>
      <c r="T18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Row],[//]]="","",INDEX([6]!NOTA[NAMA BARANG],KALINDO[[#This Row],[//]]-2))</f>
        <v>CALCULATOR JOYKO DTC-1516</v>
      </c>
      <c r="V18" s="4" t="str">
        <f ca="1">LOWER(SUBSTITUTE(SUBSTITUTE(SUBSTITUTE(SUBSTITUTE(SUBSTITUTE(SUBSTITUTE(KALINDO[[#This Row],[N.B.nota]]," ",""),"-",""),"(",""),")",""),".",""),",",""))</f>
        <v>calculatorjoykodtc1516</v>
      </c>
      <c r="W18" s="4" t="s">
        <v>137</v>
      </c>
      <c r="X18" s="4" t="str">
        <f ca="1">IF(KALINDO[[#This Row],[N.B.nota]]="","",ADDRESS(ROW(KALINDO[QB]),COLUMN(KALINDO[QB]))&amp;":"&amp;ADDRESS(ROW(),COLUMN(KALINDO[QB])))</f>
        <v>$D$3:$D$18</v>
      </c>
      <c r="Y18" s="14" t="str">
        <f ca="1">IF(KALINDO[[#This Row],[//]]="","",HYPERLINK("[../DB.xlsx]DB!e"&amp;MATCH(KALINDO[[#This Row],[concat]],[4]!db[NB NOTA_C],0)+1,"&gt;"))</f>
        <v>&gt;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J5" sqref="J5"/>
    </sheetView>
  </sheetViews>
  <sheetFormatPr defaultRowHeight="15" customHeight="1" x14ac:dyDescent="0.25"/>
  <cols>
    <col min="1" max="1" width="10.140625" style="25" customWidth="1"/>
    <col min="2" max="2" width="3" style="25" customWidth="1"/>
    <col min="3" max="4" width="2" style="25" customWidth="1"/>
    <col min="5" max="5" width="4" style="25" customWidth="1"/>
    <col min="6" max="6" width="5.5703125" style="25" customWidth="1"/>
    <col min="7" max="8" width="10.7109375" style="25" customWidth="1"/>
    <col min="9" max="9" width="10.140625" style="25" customWidth="1"/>
    <col min="10" max="10" width="22.42578125" style="26" customWidth="1"/>
    <col min="11" max="11" width="2" style="25" customWidth="1"/>
    <col min="12" max="12" width="4" style="25" customWidth="1"/>
    <col min="13" max="13" width="4.28515625" style="25" customWidth="1"/>
    <col min="14" max="14" width="9.140625" style="25" customWidth="1"/>
    <col min="15" max="16" width="6.140625" style="25" customWidth="1"/>
    <col min="17" max="17" width="11.7109375" style="25" customWidth="1"/>
    <col min="18" max="18" width="12.5703125" style="32" customWidth="1"/>
    <col min="19" max="19" width="12.7109375" style="25" customWidth="1"/>
    <col min="20" max="20" width="7.28515625" style="25" customWidth="1"/>
    <col min="21" max="21" width="24.7109375" style="25" customWidth="1"/>
    <col min="22" max="22" width="19.85546875" style="25" customWidth="1"/>
    <col min="23" max="23" width="4.140625" style="25" customWidth="1"/>
    <col min="24" max="24" width="11.140625" style="25" customWidth="1"/>
    <col min="25" max="25" width="2" style="25" customWidth="1"/>
    <col min="26" max="16384" width="9.140625" style="25"/>
  </cols>
  <sheetData>
    <row r="2" spans="1:25" ht="15" customHeight="1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17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ht="15" customHeight="1" x14ac:dyDescent="0.25">
      <c r="A3" s="26" t="s">
        <v>64</v>
      </c>
      <c r="B3" s="9">
        <f ca="1">IF(J_UTAMA[[#This Row],[N_ID]]="","",INDEX(Table1[ID],MATCH(J_UTAMA[[#This Row],[N_ID]],Table1[N_ID],0)))</f>
        <v>50</v>
      </c>
      <c r="C3" s="9" t="str">
        <f ca="1">IF(J_UTAMA[[#This Row],[ID NOTA]]="","",HYPERLINK("[NOTA_.xlsx]NOTA!e"&amp;INDEX([6]!PAJAK[//],MATCH(J_UTAMA[[#This Row],[ID NOTA]],[6]!PAJAK[ID],0)),"&gt;") )</f>
        <v>&gt;</v>
      </c>
      <c r="D3" s="9">
        <f ca="1">IF(J_UTAMA[[#This Row],[ID NOTA]]="","",INDEX(Table1[QB],MATCH(J_UTAMA[[#This Row],[ID NOTA]],Table1[ID],0)))</f>
        <v>9</v>
      </c>
      <c r="E3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259</v>
      </c>
      <c r="F3" s="9">
        <f ca="1">IF(J_UTAMA[[#This Row],[NO. NOTA]]="","",INDEX('[5]99'!$A:$A,MATCH(J_UTAMA[[#This Row],[NO. NOTA]],'[5]99'!$D:$D,0)))</f>
        <v>1</v>
      </c>
      <c r="G3" s="10">
        <f ca="1">IF(J_UTAMA[[#This Row],[ID NOTA]]="","",INDEX([6]!NOTA[TGL_H],MATCH(J_UTAMA[[#This Row],[ID NOTA]],[6]!NOTA[ID],0)))</f>
        <v>44753</v>
      </c>
      <c r="H3" s="10">
        <f ca="1">IF(J_UTAMA[[#This Row],[ID NOTA]]="","",INDEX([6]!NOTA[TGL.NOTA],MATCH(J_UTAMA[[#This Row],[ID NOTA]],[6]!NOTA[ID],0)))</f>
        <v>44749</v>
      </c>
      <c r="I3" s="17" t="str">
        <f ca="1">IF(J_UTAMA[[#This Row],[ID NOTA]]="","",INDEX([6]!NOTA[NO.NOTA],MATCH(J_UTAMA[[#This Row],[ID NOTA]],[6]!NOTA[ID],0)))</f>
        <v>JUG181/22</v>
      </c>
      <c r="J3" s="17" t="s">
        <v>139</v>
      </c>
      <c r="K3" s="9">
        <f ca="1">IF(J_UTAMA[[#This Row],[//]]="","",INDEX([6]!NOTA[C],J_UTAMA[[#This Row],[//]]-2))</f>
        <v>1</v>
      </c>
      <c r="L3" s="9">
        <f ca="1">IF(J_UTAMA[[#This Row],[//]]="","",INDEX([6]!NOTA[QTY],J_UTAMA[[#This Row],[//]]-2))</f>
        <v>144</v>
      </c>
      <c r="M3" s="9" t="str">
        <f ca="1">IF(J_UTAMA[[#This Row],[//]]="","",INDEX([6]!NOTA[STN],J_UTAMA[[#This Row],[//]]-2))</f>
        <v>LSN</v>
      </c>
      <c r="N3" s="18">
        <f ca="1">IF(J_UTAMA[[#This Row],[//]]="","",INDEX([6]!NOTA[HARGA SATUAN],J_UTAMA[[#This Row],[//]]-2))</f>
        <v>18250</v>
      </c>
      <c r="O3" s="20" t="str">
        <f ca="1">IF(J_UTAMA[[#This Row],[//]]="","",IF(INDEX([6]!NOTA[DISC 1],J_UTAMA[[#This Row],[//]]-2)="","",INDEX([6]!NOTA[DISC 1],J_UTAMA[[#This Row],[//]]-2)))</f>
        <v/>
      </c>
      <c r="P3" s="20" t="str">
        <f ca="1">IF(J_UTAMA[[#This Row],[//]]="","",IF(INDEX([6]!NOTA[DISC 2],J_UTAMA[[#This Row],[//]]-2)="","",INDEX([6]!NOTA[DISC 2],J_UTAMA[[#This Row],[//]]-2)))</f>
        <v/>
      </c>
      <c r="Q3" s="11">
        <f ca="1">IF(J_UTAMA[[#This Row],[//]]="","",INDEX([6]!NOTA[JUMLAH],J_UTAMA[[#This Row],[//]]-2)*(100%-IF(ISNUMBER(J_UTAMA[[#This Row],[DISC 1 (%)]]),J_UTAMA[[#This Row],[DISC 1 (%)]],0)))</f>
        <v>2628000</v>
      </c>
      <c r="R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3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7" t="str">
        <f ca="1">IF(J_UTAMA[[#This Row],[//]]="","",INDEX([6]!NOTA[NAMA BARANG],J_UTAMA[[#This Row],[//]]-2))</f>
        <v>GEL TIZO FANCY TG31475-E</v>
      </c>
      <c r="V3" s="17" t="str">
        <f ca="1">LOWER(SUBSTITUTE(SUBSTITUTE(SUBSTITUTE(SUBSTITUTE(SUBSTITUTE(SUBSTITUTE(SUBSTITUTE(J_UTAMA[[#This Row],[N.B.nota]]," ",""),"-",""),"(",""),")",""),".",""),",",""),"/",""))</f>
        <v>geltizofancytg31475e</v>
      </c>
      <c r="W3" s="17" t="s">
        <v>137</v>
      </c>
      <c r="X3" s="17" t="str">
        <f ca="1">IF(J_UTAMA[[#This Row],[N.B.nota]]="","",ADDRESS(ROW(J_UTAMA[QB]),COLUMN(J_UTAMA[QB]))&amp;":"&amp;ADDRESS(ROW(),COLUMN(J_UTAMA[QB])))</f>
        <v>$D$3:$D$3</v>
      </c>
      <c r="Y3" s="17" t="str">
        <f ca="1">IF(J_UTAMA[[#This Row],[//]]="","",HYPERLINK("[..\\DB.xlsx]DB!e"&amp;MATCH(J_UTAMA[[#This Row],[concat]],[4]!db[NB NOTA_C],0)+1,"&gt;"))</f>
        <v>&gt;</v>
      </c>
    </row>
    <row r="4" spans="1:25" ht="15" customHeight="1" x14ac:dyDescent="0.25">
      <c r="A4" s="26"/>
      <c r="B4" s="9" t="str">
        <f>IF(J_UTAMA[[#This Row],[N_ID]]="","",INDEX(Table1[ID],MATCH(J_UTAMA[[#This Row],[N_ID]],Table1[N_ID],0)))</f>
        <v/>
      </c>
      <c r="C4" s="9" t="str">
        <f>IF(J_UTAMA[[#This Row],[ID NOTA]]="","",HYPERLINK("[NOTA_.xlsx]NOTA!e"&amp;INDEX([6]!PAJAK[//],MATCH(J_UTAMA[[#This Row],[ID NOTA]],[6]!PAJAK[ID],0)),"&gt;") )</f>
        <v/>
      </c>
      <c r="D4" s="9" t="str">
        <f>IF(J_UTAMA[[#This Row],[ID NOTA]]="","",INDEX(Table1[QB],MATCH(J_UTAMA[[#This Row],[ID NOTA]],Table1[ID],0)))</f>
        <v/>
      </c>
      <c r="E4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260</v>
      </c>
      <c r="F4" s="9" t="str">
        <f>IF(J_UTAMA[[#This Row],[NO. NOTA]]="","",INDEX('[5]99'!$A:$A,MATCH(J_UTAMA[[#This Row],[NO. NOTA]],'[5]99'!$D:$D,0)))</f>
        <v/>
      </c>
      <c r="G4" s="10" t="str">
        <f>IF(J_UTAMA[[#This Row],[ID NOTA]]="","",INDEX([6]!NOTA[TGL_H],MATCH(J_UTAMA[[#This Row],[ID NOTA]],[6]!NOTA[ID],0)))</f>
        <v/>
      </c>
      <c r="H4" s="10" t="str">
        <f>IF(J_UTAMA[[#This Row],[ID NOTA]]="","",INDEX([6]!NOTA[TGL.NOTA],MATCH(J_UTAMA[[#This Row],[ID NOTA]],[6]!NOTA[ID],0)))</f>
        <v/>
      </c>
      <c r="I4" s="17" t="str">
        <f>IF(J_UTAMA[[#This Row],[ID NOTA]]="","",INDEX([6]!NOTA[NO.NOTA],MATCH(J_UTAMA[[#This Row],[ID NOTA]],[6]!NOTA[ID],0)))</f>
        <v/>
      </c>
      <c r="J4" s="17" t="s">
        <v>140</v>
      </c>
      <c r="K4" s="9">
        <f ca="1">IF(J_UTAMA[[#This Row],[//]]="","",INDEX([6]!NOTA[C],J_UTAMA[[#This Row],[//]]-2))</f>
        <v>1</v>
      </c>
      <c r="L4" s="9">
        <f ca="1">IF(J_UTAMA[[#This Row],[//]]="","",INDEX([6]!NOTA[QTY],J_UTAMA[[#This Row],[//]]-2))</f>
        <v>144</v>
      </c>
      <c r="M4" s="9" t="str">
        <f ca="1">IF(J_UTAMA[[#This Row],[//]]="","",INDEX([6]!NOTA[STN],J_UTAMA[[#This Row],[//]]-2))</f>
        <v>LSN</v>
      </c>
      <c r="N4" s="18">
        <f ca="1">IF(J_UTAMA[[#This Row],[//]]="","",INDEX([6]!NOTA[HARGA SATUAN],J_UTAMA[[#This Row],[//]]-2))</f>
        <v>18250</v>
      </c>
      <c r="O4" s="20" t="str">
        <f ca="1">IF(J_UTAMA[[#This Row],[//]]="","",IF(INDEX([6]!NOTA[DISC 1],J_UTAMA[[#This Row],[//]]-2)="","",INDEX([6]!NOTA[DISC 1],J_UTAMA[[#This Row],[//]]-2)))</f>
        <v/>
      </c>
      <c r="P4" s="20" t="str">
        <f ca="1">IF(J_UTAMA[[#This Row],[//]]="","",IF(INDEX([6]!NOTA[DISC 2],J_UTAMA[[#This Row],[//]]-2)="","",INDEX([6]!NOTA[DISC 2],J_UTAMA[[#This Row],[//]]-2)))</f>
        <v/>
      </c>
      <c r="Q4" s="11">
        <f ca="1">IF(J_UTAMA[[#This Row],[//]]="","",INDEX([6]!NOTA[JUMLAH],J_UTAMA[[#This Row],[//]]-2)*(100%-IF(ISNUMBER(J_UTAMA[[#This Row],[DISC 1 (%)]]),J_UTAMA[[#This Row],[DISC 1 (%)]],0)))</f>
        <v>2628000</v>
      </c>
      <c r="R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4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4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7" t="str">
        <f ca="1">IF(J_UTAMA[[#This Row],[//]]="","",INDEX([6]!NOTA[NAMA BARANG],J_UTAMA[[#This Row],[//]]-2))</f>
        <v>GEL TIZO FANCY TG31762-E</v>
      </c>
      <c r="V4" s="17" t="str">
        <f ca="1">LOWER(SUBSTITUTE(SUBSTITUTE(SUBSTITUTE(SUBSTITUTE(SUBSTITUTE(SUBSTITUTE(SUBSTITUTE(J_UTAMA[[#This Row],[N.B.nota]]," ",""),"-",""),"(",""),")",""),".",""),",",""),"/",""))</f>
        <v>geltizofancytg31762e</v>
      </c>
      <c r="W4" s="17" t="s">
        <v>137</v>
      </c>
      <c r="X4" s="17" t="str">
        <f ca="1">IF(J_UTAMA[[#This Row],[N.B.nota]]="","",ADDRESS(ROW(J_UTAMA[QB]),COLUMN(J_UTAMA[QB]))&amp;":"&amp;ADDRESS(ROW(),COLUMN(J_UTAMA[QB])))</f>
        <v>$D$3:$D$4</v>
      </c>
      <c r="Y4" s="17" t="str">
        <f ca="1">IF(J_UTAMA[[#This Row],[//]]="","",HYPERLINK("[..\\DB.xlsx]DB!e"&amp;MATCH(J_UTAMA[[#This Row],[concat]],[4]!db[NB NOTA_C],0)+1,"&gt;"))</f>
        <v>&gt;</v>
      </c>
    </row>
    <row r="5" spans="1:25" ht="15" customHeight="1" x14ac:dyDescent="0.25">
      <c r="A5" s="26"/>
      <c r="B5" s="9" t="str">
        <f>IF(J_UTAMA[[#This Row],[N_ID]]="","",INDEX(Table1[ID],MATCH(J_UTAMA[[#This Row],[N_ID]],Table1[N_ID],0)))</f>
        <v/>
      </c>
      <c r="C5" s="9" t="str">
        <f>IF(J_UTAMA[[#This Row],[ID NOTA]]="","",HYPERLINK("[NOTA_.xlsx]NOTA!e"&amp;INDEX([6]!PAJAK[//],MATCH(J_UTAMA[[#This Row],[ID NOTA]],[6]!PAJAK[ID],0)),"&gt;") )</f>
        <v/>
      </c>
      <c r="D5" s="9" t="str">
        <f>IF(J_UTAMA[[#This Row],[ID NOTA]]="","",INDEX(Table1[QB],MATCH(J_UTAMA[[#This Row],[ID NOTA]],Table1[ID],0)))</f>
        <v/>
      </c>
      <c r="E5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261</v>
      </c>
      <c r="F5" s="9" t="str">
        <f>IF(J_UTAMA[[#This Row],[NO. NOTA]]="","",INDEX('[5]99'!$A:$A,MATCH(J_UTAMA[[#This Row],[NO. NOTA]],'[5]99'!$D:$D,0)))</f>
        <v/>
      </c>
      <c r="G5" s="10" t="str">
        <f>IF(J_UTAMA[[#This Row],[ID NOTA]]="","",INDEX([6]!NOTA[TGL_H],MATCH(J_UTAMA[[#This Row],[ID NOTA]],[6]!NOTA[ID],0)))</f>
        <v/>
      </c>
      <c r="H5" s="10" t="str">
        <f>IF(J_UTAMA[[#This Row],[ID NOTA]]="","",INDEX([6]!NOTA[TGL.NOTA],MATCH(J_UTAMA[[#This Row],[ID NOTA]],[6]!NOTA[ID],0)))</f>
        <v/>
      </c>
      <c r="I5" s="17" t="str">
        <f>IF(J_UTAMA[[#This Row],[ID NOTA]]="","",INDEX([6]!NOTA[NO.NOTA],MATCH(J_UTAMA[[#This Row],[ID NOTA]],[6]!NOTA[ID],0)))</f>
        <v/>
      </c>
      <c r="J5" s="17" t="s">
        <v>141</v>
      </c>
      <c r="K5" s="9">
        <f ca="1">IF(J_UTAMA[[#This Row],[//]]="","",INDEX([6]!NOTA[C],J_UTAMA[[#This Row],[//]]-2))</f>
        <v>1</v>
      </c>
      <c r="L5" s="9">
        <f ca="1">IF(J_UTAMA[[#This Row],[//]]="","",INDEX([6]!NOTA[QTY],J_UTAMA[[#This Row],[//]]-2))</f>
        <v>144</v>
      </c>
      <c r="M5" s="9" t="str">
        <f ca="1">IF(J_UTAMA[[#This Row],[//]]="","",INDEX([6]!NOTA[STN],J_UTAMA[[#This Row],[//]]-2))</f>
        <v>LSN</v>
      </c>
      <c r="N5" s="18">
        <f ca="1">IF(J_UTAMA[[#This Row],[//]]="","",INDEX([6]!NOTA[HARGA SATUAN],J_UTAMA[[#This Row],[//]]-2))</f>
        <v>18250</v>
      </c>
      <c r="O5" s="20" t="str">
        <f ca="1">IF(J_UTAMA[[#This Row],[//]]="","",IF(INDEX([6]!NOTA[DISC 1],J_UTAMA[[#This Row],[//]]-2)="","",INDEX([6]!NOTA[DISC 1],J_UTAMA[[#This Row],[//]]-2)))</f>
        <v/>
      </c>
      <c r="P5" s="20" t="str">
        <f ca="1">IF(J_UTAMA[[#This Row],[//]]="","",IF(INDEX([6]!NOTA[DISC 2],J_UTAMA[[#This Row],[//]]-2)="","",INDEX([6]!NOTA[DISC 2],J_UTAMA[[#This Row],[//]]-2)))</f>
        <v/>
      </c>
      <c r="Q5" s="11">
        <f ca="1">IF(J_UTAMA[[#This Row],[//]]="","",INDEX([6]!NOTA[JUMLAH],J_UTAMA[[#This Row],[//]]-2)*(100%-IF(ISNUMBER(J_UTAMA[[#This Row],[DISC 1 (%)]]),J_UTAMA[[#This Row],[DISC 1 (%)]],0)))</f>
        <v>2628000</v>
      </c>
      <c r="R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5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5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7" t="str">
        <f ca="1">IF(J_UTAMA[[#This Row],[//]]="","",INDEX([6]!NOTA[NAMA BARANG],J_UTAMA[[#This Row],[//]]-2))</f>
        <v>GEL TIZO FANCY TG31831-E</v>
      </c>
      <c r="V5" s="17" t="str">
        <f ca="1">LOWER(SUBSTITUTE(SUBSTITUTE(SUBSTITUTE(SUBSTITUTE(SUBSTITUTE(SUBSTITUTE(SUBSTITUTE(J_UTAMA[[#This Row],[N.B.nota]]," ",""),"-",""),"(",""),")",""),".",""),",",""),"/",""))</f>
        <v>geltizofancytg31831e</v>
      </c>
      <c r="W5" s="17" t="s">
        <v>137</v>
      </c>
      <c r="X5" s="17" t="str">
        <f ca="1">IF(J_UTAMA[[#This Row],[N.B.nota]]="","",ADDRESS(ROW(J_UTAMA[QB]),COLUMN(J_UTAMA[QB]))&amp;":"&amp;ADDRESS(ROW(),COLUMN(J_UTAMA[QB])))</f>
        <v>$D$3:$D$5</v>
      </c>
      <c r="Y5" s="17" t="str">
        <f ca="1">IF(J_UTAMA[[#This Row],[//]]="","",HYPERLINK("[..\\DB.xlsx]DB!e"&amp;MATCH(J_UTAMA[[#This Row],[concat]],[4]!db[NB NOTA_C],0)+1,"&gt;"))</f>
        <v>&gt;</v>
      </c>
    </row>
    <row r="6" spans="1:25" ht="15" customHeight="1" x14ac:dyDescent="0.25">
      <c r="A6" s="26"/>
      <c r="B6" s="9" t="str">
        <f>IF(J_UTAMA[[#This Row],[N_ID]]="","",INDEX(Table1[ID],MATCH(J_UTAMA[[#This Row],[N_ID]],Table1[N_ID],0)))</f>
        <v/>
      </c>
      <c r="C6" s="9" t="str">
        <f>IF(J_UTAMA[[#This Row],[ID NOTA]]="","",HYPERLINK("[NOTA_.xlsx]NOTA!e"&amp;INDEX([6]!PAJAK[//],MATCH(J_UTAMA[[#This Row],[ID NOTA]],[6]!PAJAK[ID],0)),"&gt;") )</f>
        <v/>
      </c>
      <c r="D6" s="9" t="str">
        <f>IF(J_UTAMA[[#This Row],[ID NOTA]]="","",INDEX(Table1[QB],MATCH(J_UTAMA[[#This Row],[ID NOTA]],Table1[ID],0)))</f>
        <v/>
      </c>
      <c r="E6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262</v>
      </c>
      <c r="F6" s="9" t="str">
        <f>IF(J_UTAMA[[#This Row],[NO. NOTA]]="","",INDEX('[5]99'!$A:$A,MATCH(J_UTAMA[[#This Row],[NO. NOTA]],'[5]99'!$D:$D,0)))</f>
        <v/>
      </c>
      <c r="G6" s="10" t="str">
        <f>IF(J_UTAMA[[#This Row],[ID NOTA]]="","",INDEX([6]!NOTA[TGL_H],MATCH(J_UTAMA[[#This Row],[ID NOTA]],[6]!NOTA[ID],0)))</f>
        <v/>
      </c>
      <c r="H6" s="10" t="str">
        <f>IF(J_UTAMA[[#This Row],[ID NOTA]]="","",INDEX([6]!NOTA[TGL.NOTA],MATCH(J_UTAMA[[#This Row],[ID NOTA]],[6]!NOTA[ID],0)))</f>
        <v/>
      </c>
      <c r="I6" s="17" t="str">
        <f>IF(J_UTAMA[[#This Row],[ID NOTA]]="","",INDEX([6]!NOTA[NO.NOTA],MATCH(J_UTAMA[[#This Row],[ID NOTA]],[6]!NOTA[ID],0)))</f>
        <v/>
      </c>
      <c r="J6" s="17" t="s">
        <v>142</v>
      </c>
      <c r="K6" s="9">
        <f ca="1">IF(J_UTAMA[[#This Row],[//]]="","",INDEX([6]!NOTA[C],J_UTAMA[[#This Row],[//]]-2))</f>
        <v>1</v>
      </c>
      <c r="L6" s="9">
        <f ca="1">IF(J_UTAMA[[#This Row],[//]]="","",INDEX([6]!NOTA[QTY],J_UTAMA[[#This Row],[//]]-2))</f>
        <v>144</v>
      </c>
      <c r="M6" s="9" t="str">
        <f ca="1">IF(J_UTAMA[[#This Row],[//]]="","",INDEX([6]!NOTA[STN],J_UTAMA[[#This Row],[//]]-2))</f>
        <v>LSN</v>
      </c>
      <c r="N6" s="18">
        <f ca="1">IF(J_UTAMA[[#This Row],[//]]="","",INDEX([6]!NOTA[HARGA SATUAN],J_UTAMA[[#This Row],[//]]-2))</f>
        <v>18250</v>
      </c>
      <c r="O6" s="20" t="str">
        <f ca="1">IF(J_UTAMA[[#This Row],[//]]="","",IF(INDEX([6]!NOTA[DISC 1],J_UTAMA[[#This Row],[//]]-2)="","",INDEX([6]!NOTA[DISC 1],J_UTAMA[[#This Row],[//]]-2)))</f>
        <v/>
      </c>
      <c r="P6" s="20" t="str">
        <f ca="1">IF(J_UTAMA[[#This Row],[//]]="","",IF(INDEX([6]!NOTA[DISC 2],J_UTAMA[[#This Row],[//]]-2)="","",INDEX([6]!NOTA[DISC 2],J_UTAMA[[#This Row],[//]]-2)))</f>
        <v/>
      </c>
      <c r="Q6" s="11">
        <f ca="1">IF(J_UTAMA[[#This Row],[//]]="","",INDEX([6]!NOTA[JUMLAH],J_UTAMA[[#This Row],[//]]-2)*(100%-IF(ISNUMBER(J_UTAMA[[#This Row],[DISC 1 (%)]]),J_UTAMA[[#This Row],[DISC 1 (%)]],0)))</f>
        <v>2628000</v>
      </c>
      <c r="R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6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6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7" t="str">
        <f ca="1">IF(J_UTAMA[[#This Row],[//]]="","",INDEX([6]!NOTA[NAMA BARANG],J_UTAMA[[#This Row],[//]]-2))</f>
        <v>GEL TIZO FANCY TG348-E</v>
      </c>
      <c r="V6" s="17" t="str">
        <f ca="1">LOWER(SUBSTITUTE(SUBSTITUTE(SUBSTITUTE(SUBSTITUTE(SUBSTITUTE(SUBSTITUTE(SUBSTITUTE(J_UTAMA[[#This Row],[N.B.nota]]," ",""),"-",""),"(",""),")",""),".",""),",",""),"/",""))</f>
        <v>geltizofancytg348e</v>
      </c>
      <c r="W6" s="17" t="s">
        <v>137</v>
      </c>
      <c r="X6" s="17" t="str">
        <f ca="1">IF(J_UTAMA[[#This Row],[N.B.nota]]="","",ADDRESS(ROW(J_UTAMA[QB]),COLUMN(J_UTAMA[QB]))&amp;":"&amp;ADDRESS(ROW(),COLUMN(J_UTAMA[QB])))</f>
        <v>$D$3:$D$6</v>
      </c>
      <c r="Y6" s="17" t="str">
        <f ca="1">IF(J_UTAMA[[#This Row],[//]]="","",HYPERLINK("[..\\DB.xlsx]DB!e"&amp;MATCH(J_UTAMA[[#This Row],[concat]],[4]!db[NB NOTA_C],0)+1,"&gt;"))</f>
        <v>&gt;</v>
      </c>
    </row>
    <row r="7" spans="1:25" ht="15" customHeight="1" x14ac:dyDescent="0.25">
      <c r="A7" s="26"/>
      <c r="B7" s="9" t="str">
        <f>IF(J_UTAMA[[#This Row],[N_ID]]="","",INDEX(Table1[ID],MATCH(J_UTAMA[[#This Row],[N_ID]],Table1[N_ID],0)))</f>
        <v/>
      </c>
      <c r="C7" s="9" t="str">
        <f>IF(J_UTAMA[[#This Row],[ID NOTA]]="","",HYPERLINK("[NOTA_.xlsx]NOTA!e"&amp;INDEX([6]!PAJAK[//],MATCH(J_UTAMA[[#This Row],[ID NOTA]],[6]!PAJAK[ID],0)),"&gt;") )</f>
        <v/>
      </c>
      <c r="D7" s="9" t="str">
        <f>IF(J_UTAMA[[#This Row],[ID NOTA]]="","",INDEX(Table1[QB],MATCH(J_UTAMA[[#This Row],[ID NOTA]],Table1[ID],0)))</f>
        <v/>
      </c>
      <c r="E7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263</v>
      </c>
      <c r="F7" s="9" t="str">
        <f>IF(J_UTAMA[[#This Row],[NO. NOTA]]="","",INDEX('[5]99'!$A:$A,MATCH(J_UTAMA[[#This Row],[NO. NOTA]],'[5]99'!$D:$D,0)))</f>
        <v/>
      </c>
      <c r="G7" s="10" t="str">
        <f>IF(J_UTAMA[[#This Row],[ID NOTA]]="","",INDEX([6]!NOTA[TGL_H],MATCH(J_UTAMA[[#This Row],[ID NOTA]],[6]!NOTA[ID],0)))</f>
        <v/>
      </c>
      <c r="H7" s="10" t="str">
        <f>IF(J_UTAMA[[#This Row],[ID NOTA]]="","",INDEX([6]!NOTA[TGL.NOTA],MATCH(J_UTAMA[[#This Row],[ID NOTA]],[6]!NOTA[ID],0)))</f>
        <v/>
      </c>
      <c r="I7" s="17" t="str">
        <f>IF(J_UTAMA[[#This Row],[ID NOTA]]="","",INDEX([6]!NOTA[NO.NOTA],MATCH(J_UTAMA[[#This Row],[ID NOTA]],[6]!NOTA[ID],0)))</f>
        <v/>
      </c>
      <c r="J7" s="17" t="s">
        <v>143</v>
      </c>
      <c r="K7" s="9">
        <f ca="1">IF(J_UTAMA[[#This Row],[//]]="","",INDEX([6]!NOTA[C],J_UTAMA[[#This Row],[//]]-2))</f>
        <v>1</v>
      </c>
      <c r="L7" s="9">
        <f ca="1">IF(J_UTAMA[[#This Row],[//]]="","",INDEX([6]!NOTA[QTY],J_UTAMA[[#This Row],[//]]-2))</f>
        <v>144</v>
      </c>
      <c r="M7" s="9" t="str">
        <f ca="1">IF(J_UTAMA[[#This Row],[//]]="","",INDEX([6]!NOTA[STN],J_UTAMA[[#This Row],[//]]-2))</f>
        <v>LSN</v>
      </c>
      <c r="N7" s="18">
        <f ca="1">IF(J_UTAMA[[#This Row],[//]]="","",INDEX([6]!NOTA[HARGA SATUAN],J_UTAMA[[#This Row],[//]]-2))</f>
        <v>18250</v>
      </c>
      <c r="O7" s="20" t="str">
        <f ca="1">IF(J_UTAMA[[#This Row],[//]]="","",IF(INDEX([6]!NOTA[DISC 1],J_UTAMA[[#This Row],[//]]-2)="","",INDEX([6]!NOTA[DISC 1],J_UTAMA[[#This Row],[//]]-2)))</f>
        <v/>
      </c>
      <c r="P7" s="20" t="str">
        <f ca="1">IF(J_UTAMA[[#This Row],[//]]="","",IF(INDEX([6]!NOTA[DISC 2],J_UTAMA[[#This Row],[//]]-2)="","",INDEX([6]!NOTA[DISC 2],J_UTAMA[[#This Row],[//]]-2)))</f>
        <v/>
      </c>
      <c r="Q7" s="11">
        <f ca="1">IF(J_UTAMA[[#This Row],[//]]="","",INDEX([6]!NOTA[JUMLAH],J_UTAMA[[#This Row],[//]]-2)*(100%-IF(ISNUMBER(J_UTAMA[[#This Row],[DISC 1 (%)]]),J_UTAMA[[#This Row],[DISC 1 (%)]],0)))</f>
        <v>2628000</v>
      </c>
      <c r="R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7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7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7" t="str">
        <f ca="1">IF(J_UTAMA[[#This Row],[//]]="","",INDEX([6]!NOTA[NAMA BARANG],J_UTAMA[[#This Row],[//]]-2))</f>
        <v>GEL TIZO FANCY TG30900-E</v>
      </c>
      <c r="V7" s="17" t="str">
        <f ca="1">LOWER(SUBSTITUTE(SUBSTITUTE(SUBSTITUTE(SUBSTITUTE(SUBSTITUTE(SUBSTITUTE(SUBSTITUTE(J_UTAMA[[#This Row],[N.B.nota]]," ",""),"-",""),"(",""),")",""),".",""),",",""),"/",""))</f>
        <v>geltizofancytg30900e</v>
      </c>
      <c r="W7" s="17" t="s">
        <v>137</v>
      </c>
      <c r="X7" s="17" t="str">
        <f ca="1">IF(J_UTAMA[[#This Row],[N.B.nota]]="","",ADDRESS(ROW(J_UTAMA[QB]),COLUMN(J_UTAMA[QB]))&amp;":"&amp;ADDRESS(ROW(),COLUMN(J_UTAMA[QB])))</f>
        <v>$D$3:$D$7</v>
      </c>
      <c r="Y7" s="17" t="str">
        <f ca="1">IF(J_UTAMA[[#This Row],[//]]="","",HYPERLINK("[..\\DB.xlsx]DB!e"&amp;MATCH(J_UTAMA[[#This Row],[concat]],[4]!db[NB NOTA_C],0)+1,"&gt;"))</f>
        <v>&gt;</v>
      </c>
    </row>
    <row r="8" spans="1:25" ht="15" customHeight="1" x14ac:dyDescent="0.25">
      <c r="A8" s="26"/>
      <c r="B8" s="9" t="str">
        <f>IF(J_UTAMA[[#This Row],[N_ID]]="","",INDEX(Table1[ID],MATCH(J_UTAMA[[#This Row],[N_ID]],Table1[N_ID],0)))</f>
        <v/>
      </c>
      <c r="C8" s="9" t="str">
        <f>IF(J_UTAMA[[#This Row],[ID NOTA]]="","",HYPERLINK("[NOTA_.xlsx]NOTA!e"&amp;INDEX([6]!PAJAK[//],MATCH(J_UTAMA[[#This Row],[ID NOTA]],[6]!PAJAK[ID],0)),"&gt;") )</f>
        <v/>
      </c>
      <c r="D8" s="9" t="str">
        <f>IF(J_UTAMA[[#This Row],[ID NOTA]]="","",INDEX(Table1[QB],MATCH(J_UTAMA[[#This Row],[ID NOTA]],Table1[ID],0)))</f>
        <v/>
      </c>
      <c r="E8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264</v>
      </c>
      <c r="F8" s="9" t="str">
        <f>IF(J_UTAMA[[#This Row],[NO. NOTA]]="","",INDEX('[5]99'!$A:$A,MATCH(J_UTAMA[[#This Row],[NO. NOTA]],'[5]99'!$D:$D,0)))</f>
        <v/>
      </c>
      <c r="G8" s="10" t="str">
        <f>IF(J_UTAMA[[#This Row],[ID NOTA]]="","",INDEX([6]!NOTA[TGL_H],MATCH(J_UTAMA[[#This Row],[ID NOTA]],[6]!NOTA[ID],0)))</f>
        <v/>
      </c>
      <c r="H8" s="10" t="str">
        <f>IF(J_UTAMA[[#This Row],[ID NOTA]]="","",INDEX([6]!NOTA[TGL.NOTA],MATCH(J_UTAMA[[#This Row],[ID NOTA]],[6]!NOTA[ID],0)))</f>
        <v/>
      </c>
      <c r="I8" s="17" t="str">
        <f>IF(J_UTAMA[[#This Row],[ID NOTA]]="","",INDEX([6]!NOTA[NO.NOTA],MATCH(J_UTAMA[[#This Row],[ID NOTA]],[6]!NOTA[ID],0)))</f>
        <v/>
      </c>
      <c r="J8" s="17" t="s">
        <v>144</v>
      </c>
      <c r="K8" s="9">
        <f ca="1">IF(J_UTAMA[[#This Row],[//]]="","",INDEX([6]!NOTA[C],J_UTAMA[[#This Row],[//]]-2))</f>
        <v>1</v>
      </c>
      <c r="L8" s="9">
        <f ca="1">IF(J_UTAMA[[#This Row],[//]]="","",INDEX([6]!NOTA[QTY],J_UTAMA[[#This Row],[//]]-2))</f>
        <v>144</v>
      </c>
      <c r="M8" s="9" t="str">
        <f ca="1">IF(J_UTAMA[[#This Row],[//]]="","",INDEX([6]!NOTA[STN],J_UTAMA[[#This Row],[//]]-2))</f>
        <v>LSN</v>
      </c>
      <c r="N8" s="18">
        <f ca="1">IF(J_UTAMA[[#This Row],[//]]="","",INDEX([6]!NOTA[HARGA SATUAN],J_UTAMA[[#This Row],[//]]-2))</f>
        <v>18250</v>
      </c>
      <c r="O8" s="20" t="str">
        <f ca="1">IF(J_UTAMA[[#This Row],[//]]="","",IF(INDEX([6]!NOTA[DISC 1],J_UTAMA[[#This Row],[//]]-2)="","",INDEX([6]!NOTA[DISC 1],J_UTAMA[[#This Row],[//]]-2)))</f>
        <v/>
      </c>
      <c r="P8" s="20" t="str">
        <f ca="1">IF(J_UTAMA[[#This Row],[//]]="","",IF(INDEX([6]!NOTA[DISC 2],J_UTAMA[[#This Row],[//]]-2)="","",INDEX([6]!NOTA[DISC 2],J_UTAMA[[#This Row],[//]]-2)))</f>
        <v/>
      </c>
      <c r="Q8" s="11">
        <f ca="1">IF(J_UTAMA[[#This Row],[//]]="","",INDEX([6]!NOTA[JUMLAH],J_UTAMA[[#This Row],[//]]-2)*(100%-IF(ISNUMBER(J_UTAMA[[#This Row],[DISC 1 (%)]]),J_UTAMA[[#This Row],[DISC 1 (%)]],0)))</f>
        <v>2628000</v>
      </c>
      <c r="R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8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8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7" t="str">
        <f ca="1">IF(J_UTAMA[[#This Row],[//]]="","",INDEX([6]!NOTA[NAMA BARANG],J_UTAMA[[#This Row],[//]]-2))</f>
        <v>GEL TIZO FANCY TG31037-E</v>
      </c>
      <c r="V8" s="17" t="str">
        <f ca="1">LOWER(SUBSTITUTE(SUBSTITUTE(SUBSTITUTE(SUBSTITUTE(SUBSTITUTE(SUBSTITUTE(SUBSTITUTE(J_UTAMA[[#This Row],[N.B.nota]]," ",""),"-",""),"(",""),")",""),".",""),",",""),"/",""))</f>
        <v>geltizofancytg31037e</v>
      </c>
      <c r="W8" s="17" t="s">
        <v>137</v>
      </c>
      <c r="X8" s="17" t="str">
        <f ca="1">IF(J_UTAMA[[#This Row],[N.B.nota]]="","",ADDRESS(ROW(J_UTAMA[QB]),COLUMN(J_UTAMA[QB]))&amp;":"&amp;ADDRESS(ROW(),COLUMN(J_UTAMA[QB])))</f>
        <v>$D$3:$D$8</v>
      </c>
      <c r="Y8" s="17" t="str">
        <f ca="1">IF(J_UTAMA[[#This Row],[//]]="","",HYPERLINK("[..\\DB.xlsx]DB!e"&amp;MATCH(J_UTAMA[[#This Row],[concat]],[4]!db[NB NOTA_C],0)+1,"&gt;"))</f>
        <v>&gt;</v>
      </c>
    </row>
    <row r="9" spans="1:25" ht="15" customHeight="1" x14ac:dyDescent="0.25">
      <c r="A9" s="26"/>
      <c r="B9" s="9" t="str">
        <f>IF(J_UTAMA[[#This Row],[N_ID]]="","",INDEX(Table1[ID],MATCH(J_UTAMA[[#This Row],[N_ID]],Table1[N_ID],0)))</f>
        <v/>
      </c>
      <c r="C9" s="9" t="str">
        <f>IF(J_UTAMA[[#This Row],[ID NOTA]]="","",HYPERLINK("[NOTA_.xlsx]NOTA!e"&amp;INDEX([6]!PAJAK[//],MATCH(J_UTAMA[[#This Row],[ID NOTA]],[6]!PAJAK[ID],0)),"&gt;") )</f>
        <v/>
      </c>
      <c r="D9" s="9" t="str">
        <f>IF(J_UTAMA[[#This Row],[ID NOTA]]="","",INDEX(Table1[QB],MATCH(J_UTAMA[[#This Row],[ID NOTA]],Table1[ID],0)))</f>
        <v/>
      </c>
      <c r="E9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265</v>
      </c>
      <c r="F9" s="9" t="str">
        <f>IF(J_UTAMA[[#This Row],[NO. NOTA]]="","",INDEX('[5]99'!$A:$A,MATCH(J_UTAMA[[#This Row],[NO. NOTA]],'[5]99'!$D:$D,0)))</f>
        <v/>
      </c>
      <c r="G9" s="10" t="str">
        <f>IF(J_UTAMA[[#This Row],[ID NOTA]]="","",INDEX([6]!NOTA[TGL_H],MATCH(J_UTAMA[[#This Row],[ID NOTA]],[6]!NOTA[ID],0)))</f>
        <v/>
      </c>
      <c r="H9" s="10" t="str">
        <f>IF(J_UTAMA[[#This Row],[ID NOTA]]="","",INDEX([6]!NOTA[TGL.NOTA],MATCH(J_UTAMA[[#This Row],[ID NOTA]],[6]!NOTA[ID],0)))</f>
        <v/>
      </c>
      <c r="I9" s="17" t="str">
        <f>IF(J_UTAMA[[#This Row],[ID NOTA]]="","",INDEX([6]!NOTA[NO.NOTA],MATCH(J_UTAMA[[#This Row],[ID NOTA]],[6]!NOTA[ID],0)))</f>
        <v/>
      </c>
      <c r="J9" s="17" t="s">
        <v>145</v>
      </c>
      <c r="K9" s="9">
        <f ca="1">IF(J_UTAMA[[#This Row],[//]]="","",INDEX([6]!NOTA[C],J_UTAMA[[#This Row],[//]]-2))</f>
        <v>1</v>
      </c>
      <c r="L9" s="9">
        <f ca="1">IF(J_UTAMA[[#This Row],[//]]="","",INDEX([6]!NOTA[QTY],J_UTAMA[[#This Row],[//]]-2))</f>
        <v>144</v>
      </c>
      <c r="M9" s="9" t="str">
        <f ca="1">IF(J_UTAMA[[#This Row],[//]]="","",INDEX([6]!NOTA[STN],J_UTAMA[[#This Row],[//]]-2))</f>
        <v>LSN</v>
      </c>
      <c r="N9" s="18">
        <f ca="1">IF(J_UTAMA[[#This Row],[//]]="","",INDEX([6]!NOTA[HARGA SATUAN],J_UTAMA[[#This Row],[//]]-2))</f>
        <v>18250</v>
      </c>
      <c r="O9" s="20" t="str">
        <f ca="1">IF(J_UTAMA[[#This Row],[//]]="","",IF(INDEX([6]!NOTA[DISC 1],J_UTAMA[[#This Row],[//]]-2)="","",INDEX([6]!NOTA[DISC 1],J_UTAMA[[#This Row],[//]]-2)))</f>
        <v/>
      </c>
      <c r="P9" s="20" t="str">
        <f ca="1">IF(J_UTAMA[[#This Row],[//]]="","",IF(INDEX([6]!NOTA[DISC 2],J_UTAMA[[#This Row],[//]]-2)="","",INDEX([6]!NOTA[DISC 2],J_UTAMA[[#This Row],[//]]-2)))</f>
        <v/>
      </c>
      <c r="Q9" s="11">
        <f ca="1">IF(J_UTAMA[[#This Row],[//]]="","",INDEX([6]!NOTA[JUMLAH],J_UTAMA[[#This Row],[//]]-2)*(100%-IF(ISNUMBER(J_UTAMA[[#This Row],[DISC 1 (%)]]),J_UTAMA[[#This Row],[DISC 1 (%)]],0)))</f>
        <v>2628000</v>
      </c>
      <c r="R9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9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9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7" t="str">
        <f ca="1">IF(J_UTAMA[[#This Row],[//]]="","",INDEX([6]!NOTA[NAMA BARANG],J_UTAMA[[#This Row],[//]]-2))</f>
        <v>GEL TIZO FANCY TG30801-E</v>
      </c>
      <c r="V9" s="17" t="str">
        <f ca="1">LOWER(SUBSTITUTE(SUBSTITUTE(SUBSTITUTE(SUBSTITUTE(SUBSTITUTE(SUBSTITUTE(SUBSTITUTE(J_UTAMA[[#This Row],[N.B.nota]]," ",""),"-",""),"(",""),")",""),".",""),",",""),"/",""))</f>
        <v>geltizofancytg30801e</v>
      </c>
      <c r="W9" s="17" t="s">
        <v>137</v>
      </c>
      <c r="X9" s="17" t="str">
        <f ca="1">IF(J_UTAMA[[#This Row],[N.B.nota]]="","",ADDRESS(ROW(J_UTAMA[QB]),COLUMN(J_UTAMA[QB]))&amp;":"&amp;ADDRESS(ROW(),COLUMN(J_UTAMA[QB])))</f>
        <v>$D$3:$D$9</v>
      </c>
      <c r="Y9" s="17" t="str">
        <f ca="1">IF(J_UTAMA[[#This Row],[//]]="","",HYPERLINK("[..\\DB.xlsx]DB!e"&amp;MATCH(J_UTAMA[[#This Row],[concat]],[4]!db[NB NOTA_C],0)+1,"&gt;"))</f>
        <v>&gt;</v>
      </c>
    </row>
    <row r="10" spans="1:25" ht="15" customHeight="1" x14ac:dyDescent="0.25">
      <c r="A10" s="26"/>
      <c r="B10" s="9" t="str">
        <f>IF(J_UTAMA[[#This Row],[N_ID]]="","",INDEX(Table1[ID],MATCH(J_UTAMA[[#This Row],[N_ID]],Table1[N_ID],0)))</f>
        <v/>
      </c>
      <c r="C10" s="9" t="str">
        <f>IF(J_UTAMA[[#This Row],[ID NOTA]]="","",HYPERLINK("[NOTA_.xlsx]NOTA!e"&amp;INDEX([6]!PAJAK[//],MATCH(J_UTAMA[[#This Row],[ID NOTA]],[6]!PAJAK[ID],0)),"&gt;") )</f>
        <v/>
      </c>
      <c r="D10" s="9" t="str">
        <f>IF(J_UTAMA[[#This Row],[ID NOTA]]="","",INDEX(Table1[QB],MATCH(J_UTAMA[[#This Row],[ID NOTA]],Table1[ID],0)))</f>
        <v/>
      </c>
      <c r="E10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266</v>
      </c>
      <c r="F10" s="9" t="str">
        <f>IF(J_UTAMA[[#This Row],[NO. NOTA]]="","",INDEX('[5]99'!$A:$A,MATCH(J_UTAMA[[#This Row],[NO. NOTA]],'[5]99'!$D:$D,0)))</f>
        <v/>
      </c>
      <c r="G10" s="10" t="str">
        <f>IF(J_UTAMA[[#This Row],[ID NOTA]]="","",INDEX([6]!NOTA[TGL_H],MATCH(J_UTAMA[[#This Row],[ID NOTA]],[6]!NOTA[ID],0)))</f>
        <v/>
      </c>
      <c r="H10" s="10" t="str">
        <f>IF(J_UTAMA[[#This Row],[ID NOTA]]="","",INDEX([6]!NOTA[TGL.NOTA],MATCH(J_UTAMA[[#This Row],[ID NOTA]],[6]!NOTA[ID],0)))</f>
        <v/>
      </c>
      <c r="I10" s="17" t="str">
        <f>IF(J_UTAMA[[#This Row],[ID NOTA]]="","",INDEX([6]!NOTA[NO.NOTA],MATCH(J_UTAMA[[#This Row],[ID NOTA]],[6]!NOTA[ID],0)))</f>
        <v/>
      </c>
      <c r="J10" s="17" t="s">
        <v>146</v>
      </c>
      <c r="K10" s="9">
        <f ca="1">IF(J_UTAMA[[#This Row],[//]]="","",INDEX([6]!NOTA[C],J_UTAMA[[#This Row],[//]]-2))</f>
        <v>1</v>
      </c>
      <c r="L10" s="9">
        <f ca="1">IF(J_UTAMA[[#This Row],[//]]="","",INDEX([6]!NOTA[QTY],J_UTAMA[[#This Row],[//]]-2))</f>
        <v>144</v>
      </c>
      <c r="M10" s="9" t="str">
        <f ca="1">IF(J_UTAMA[[#This Row],[//]]="","",INDEX([6]!NOTA[STN],J_UTAMA[[#This Row],[//]]-2))</f>
        <v>LSN</v>
      </c>
      <c r="N10" s="18">
        <f ca="1">IF(J_UTAMA[[#This Row],[//]]="","",INDEX([6]!NOTA[HARGA SATUAN],J_UTAMA[[#This Row],[//]]-2))</f>
        <v>18250</v>
      </c>
      <c r="O10" s="20" t="str">
        <f ca="1">IF(J_UTAMA[[#This Row],[//]]="","",IF(INDEX([6]!NOTA[DISC 1],J_UTAMA[[#This Row],[//]]-2)="","",INDEX([6]!NOTA[DISC 1],J_UTAMA[[#This Row],[//]]-2)))</f>
        <v/>
      </c>
      <c r="P10" s="20" t="str">
        <f ca="1">IF(J_UTAMA[[#This Row],[//]]="","",IF(INDEX([6]!NOTA[DISC 2],J_UTAMA[[#This Row],[//]]-2)="","",INDEX([6]!NOTA[DISC 2],J_UTAMA[[#This Row],[//]]-2)))</f>
        <v/>
      </c>
      <c r="Q10" s="11">
        <f ca="1">IF(J_UTAMA[[#This Row],[//]]="","",INDEX([6]!NOTA[JUMLAH],J_UTAMA[[#This Row],[//]]-2)*(100%-IF(ISNUMBER(J_UTAMA[[#This Row],[DISC 1 (%)]]),J_UTAMA[[#This Row],[DISC 1 (%)]],0)))</f>
        <v>2628000</v>
      </c>
      <c r="R1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0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0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7" t="str">
        <f ca="1">IF(J_UTAMA[[#This Row],[//]]="","",INDEX([6]!NOTA[NAMA BARANG],J_UTAMA[[#This Row],[//]]-2))</f>
        <v>GEL TIZO FANCY TG30734-E</v>
      </c>
      <c r="V10" s="17" t="str">
        <f ca="1">LOWER(SUBSTITUTE(SUBSTITUTE(SUBSTITUTE(SUBSTITUTE(SUBSTITUTE(SUBSTITUTE(SUBSTITUTE(J_UTAMA[[#This Row],[N.B.nota]]," ",""),"-",""),"(",""),")",""),".",""),",",""),"/",""))</f>
        <v>geltizofancytg30734e</v>
      </c>
      <c r="W10" s="17" t="s">
        <v>137</v>
      </c>
      <c r="X10" s="17" t="str">
        <f ca="1">IF(J_UTAMA[[#This Row],[N.B.nota]]="","",ADDRESS(ROW(J_UTAMA[QB]),COLUMN(J_UTAMA[QB]))&amp;":"&amp;ADDRESS(ROW(),COLUMN(J_UTAMA[QB])))</f>
        <v>$D$3:$D$10</v>
      </c>
      <c r="Y10" s="17" t="str">
        <f ca="1">IF(J_UTAMA[[#This Row],[//]]="","",HYPERLINK("[..\\DB.xlsx]DB!e"&amp;MATCH(J_UTAMA[[#This Row],[concat]],[4]!db[NB NOTA_C],0)+1,"&gt;"))</f>
        <v>&gt;</v>
      </c>
    </row>
    <row r="11" spans="1:25" ht="15" customHeight="1" x14ac:dyDescent="0.25">
      <c r="A11" s="26"/>
      <c r="B11" s="9" t="str">
        <f>IF(J_UTAMA[[#This Row],[N_ID]]="","",INDEX(Table1[ID],MATCH(J_UTAMA[[#This Row],[N_ID]],Table1[N_ID],0)))</f>
        <v/>
      </c>
      <c r="C11" s="9" t="str">
        <f>IF(J_UTAMA[[#This Row],[ID NOTA]]="","",HYPERLINK("[NOTA_.xlsx]NOTA!e"&amp;INDEX([6]!PAJAK[//],MATCH(J_UTAMA[[#This Row],[ID NOTA]],[6]!PAJAK[ID],0)),"&gt;") )</f>
        <v/>
      </c>
      <c r="D11" s="9" t="str">
        <f>IF(J_UTAMA[[#This Row],[ID NOTA]]="","",INDEX(Table1[QB],MATCH(J_UTAMA[[#This Row],[ID NOTA]],Table1[ID],0)))</f>
        <v/>
      </c>
      <c r="E11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267</v>
      </c>
      <c r="F11" s="9" t="str">
        <f>IF(J_UTAMA[[#This Row],[NO. NOTA]]="","",INDEX('[5]99'!$A:$A,MATCH(J_UTAMA[[#This Row],[NO. NOTA]],'[5]99'!$D:$D,0)))</f>
        <v/>
      </c>
      <c r="G11" s="10" t="str">
        <f>IF(J_UTAMA[[#This Row],[ID NOTA]]="","",INDEX([6]!NOTA[TGL_H],MATCH(J_UTAMA[[#This Row],[ID NOTA]],[6]!NOTA[ID],0)))</f>
        <v/>
      </c>
      <c r="H11" s="10" t="str">
        <f>IF(J_UTAMA[[#This Row],[ID NOTA]]="","",INDEX([6]!NOTA[TGL.NOTA],MATCH(J_UTAMA[[#This Row],[ID NOTA]],[6]!NOTA[ID],0)))</f>
        <v/>
      </c>
      <c r="I11" s="17" t="str">
        <f>IF(J_UTAMA[[#This Row],[ID NOTA]]="","",INDEX([6]!NOTA[NO.NOTA],MATCH(J_UTAMA[[#This Row],[ID NOTA]],[6]!NOTA[ID],0)))</f>
        <v/>
      </c>
      <c r="J11" s="17" t="s">
        <v>147</v>
      </c>
      <c r="K11" s="9">
        <f ca="1">IF(J_UTAMA[[#This Row],[//]]="","",INDEX([6]!NOTA[C],J_UTAMA[[#This Row],[//]]-2))</f>
        <v>1</v>
      </c>
      <c r="L11" s="9">
        <f ca="1">IF(J_UTAMA[[#This Row],[//]]="","",INDEX([6]!NOTA[QTY],J_UTAMA[[#This Row],[//]]-2))</f>
        <v>144</v>
      </c>
      <c r="M11" s="9" t="str">
        <f ca="1">IF(J_UTAMA[[#This Row],[//]]="","",INDEX([6]!NOTA[STN],J_UTAMA[[#This Row],[//]]-2))</f>
        <v>LSN</v>
      </c>
      <c r="N11" s="18">
        <f ca="1">IF(J_UTAMA[[#This Row],[//]]="","",INDEX([6]!NOTA[HARGA SATUAN],J_UTAMA[[#This Row],[//]]-2))</f>
        <v>18250</v>
      </c>
      <c r="O11" s="20" t="str">
        <f ca="1">IF(J_UTAMA[[#This Row],[//]]="","",IF(INDEX([6]!NOTA[DISC 1],J_UTAMA[[#This Row],[//]]-2)="","",INDEX([6]!NOTA[DISC 1],J_UTAMA[[#This Row],[//]]-2)))</f>
        <v/>
      </c>
      <c r="P11" s="20" t="str">
        <f ca="1">IF(J_UTAMA[[#This Row],[//]]="","",IF(INDEX([6]!NOTA[DISC 2],J_UTAMA[[#This Row],[//]]-2)="","",INDEX([6]!NOTA[DISC 2],J_UTAMA[[#This Row],[//]]-2)))</f>
        <v/>
      </c>
      <c r="Q11" s="11">
        <f ca="1">IF(J_UTAMA[[#This Row],[//]]="","",INDEX([6]!NOTA[JUMLAH],J_UTAMA[[#This Row],[//]]-2)*(100%-IF(ISNUMBER(J_UTAMA[[#This Row],[DISC 1 (%)]]),J_UTAMA[[#This Row],[DISC 1 (%)]],0)))</f>
        <v>2628000</v>
      </c>
      <c r="R11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0</v>
      </c>
      <c r="S11" s="18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23652000</v>
      </c>
      <c r="T11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7" t="str">
        <f ca="1">IF(J_UTAMA[[#This Row],[//]]="","",INDEX([6]!NOTA[NAMA BARANG],J_UTAMA[[#This Row],[//]]-2))</f>
        <v>GEL TIZO FANCY TG31035-E</v>
      </c>
      <c r="V11" s="17" t="str">
        <f ca="1">LOWER(SUBSTITUTE(SUBSTITUTE(SUBSTITUTE(SUBSTITUTE(SUBSTITUTE(SUBSTITUTE(SUBSTITUTE(J_UTAMA[[#This Row],[N.B.nota]]," ",""),"-",""),"(",""),")",""),".",""),",",""),"/",""))</f>
        <v>geltizofancytg31035e</v>
      </c>
      <c r="W11" s="17" t="s">
        <v>137</v>
      </c>
      <c r="X11" s="17" t="str">
        <f ca="1">IF(J_UTAMA[[#This Row],[N.B.nota]]="","",ADDRESS(ROW(J_UTAMA[QB]),COLUMN(J_UTAMA[QB]))&amp;":"&amp;ADDRESS(ROW(),COLUMN(J_UTAMA[QB])))</f>
        <v>$D$3:$D$11</v>
      </c>
      <c r="Y11" s="17" t="str">
        <f ca="1">IF(J_UTAMA[[#This Row],[//]]="","",HYPERLINK("[..\\DB.xlsx]DB!e"&amp;MATCH(J_UTAMA[[#This Row],[concat]],[4]!db[NB NOTA_C],0)+1,"&gt;"))</f>
        <v>&gt;</v>
      </c>
    </row>
    <row r="12" spans="1:25" ht="15" customHeight="1" x14ac:dyDescent="0.25">
      <c r="A12" s="26"/>
      <c r="B12" s="9" t="str">
        <f>IF(J_UTAMA[[#This Row],[N_ID]]="","",INDEX(Table1[ID],MATCH(J_UTAMA[[#This Row],[N_ID]],Table1[N_ID],0)))</f>
        <v/>
      </c>
      <c r="C12" s="9" t="str">
        <f>IF(J_UTAMA[[#This Row],[ID NOTA]]="","",HYPERLINK("[NOTA_.xlsx]NOTA!e"&amp;INDEX([6]!PAJAK[//],MATCH(J_UTAMA[[#This Row],[ID NOTA]],[6]!PAJAK[ID],0)),"&gt;") )</f>
        <v/>
      </c>
      <c r="D12" s="9" t="str">
        <f>IF(J_UTAMA[[#This Row],[ID NOTA]]="","",INDEX(Table1[QB],MATCH(J_UTAMA[[#This Row],[ID NOTA]],Table1[ID],0)))</f>
        <v/>
      </c>
      <c r="E12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12" s="9" t="str">
        <f>IF(J_UTAMA[[#This Row],[NO. NOTA]]="","",INDEX('[5]99'!$A:$A,MATCH(J_UTAMA[[#This Row],[NO. NOTA]],'[5]99'!$D:$D,0)))</f>
        <v/>
      </c>
      <c r="G12" s="10" t="str">
        <f>IF(J_UTAMA[[#This Row],[ID NOTA]]="","",INDEX([6]!NOTA[TGL_H],MATCH(J_UTAMA[[#This Row],[ID NOTA]],[6]!NOTA[ID],0)))</f>
        <v/>
      </c>
      <c r="H12" s="10" t="str">
        <f>IF(J_UTAMA[[#This Row],[ID NOTA]]="","",INDEX([6]!NOTA[TGL.NOTA],MATCH(J_UTAMA[[#This Row],[ID NOTA]],[6]!NOTA[ID],0)))</f>
        <v/>
      </c>
      <c r="I12" s="17" t="str">
        <f>IF(J_UTAMA[[#This Row],[ID NOTA]]="","",INDEX([6]!NOTA[NO.NOTA],MATCH(J_UTAMA[[#This Row],[ID NOTA]],[6]!NOTA[ID],0)))</f>
        <v/>
      </c>
      <c r="J12" s="17" t="s">
        <v>136</v>
      </c>
      <c r="K12" s="9" t="str">
        <f ca="1">IF(J_UTAMA[[#This Row],[//]]="","",INDEX([6]!NOTA[C],J_UTAMA[[#This Row],[//]]-2))</f>
        <v/>
      </c>
      <c r="L12" s="9" t="str">
        <f ca="1">IF(J_UTAMA[[#This Row],[//]]="","",INDEX([6]!NOTA[QTY],J_UTAMA[[#This Row],[//]]-2))</f>
        <v/>
      </c>
      <c r="M12" s="9" t="str">
        <f ca="1">IF(J_UTAMA[[#This Row],[//]]="","",INDEX([6]!NOTA[STN],J_UTAMA[[#This Row],[//]]-2))</f>
        <v/>
      </c>
      <c r="N12" s="18" t="str">
        <f ca="1">IF(J_UTAMA[[#This Row],[//]]="","",INDEX([6]!NOTA[HARGA SATUAN],J_UTAMA[[#This Row],[//]]-2))</f>
        <v/>
      </c>
      <c r="O12" s="20" t="str">
        <f ca="1">IF(J_UTAMA[[#This Row],[//]]="","",IF(INDEX([6]!NOTA[DISC 1],J_UTAMA[[#This Row],[//]]-2)="","",INDEX([6]!NOTA[DISC 1],J_UTAMA[[#This Row],[//]]-2)))</f>
        <v/>
      </c>
      <c r="P12" s="20" t="str">
        <f ca="1">IF(J_UTAMA[[#This Row],[//]]="","",IF(INDEX([6]!NOTA[DISC 2],J_UTAMA[[#This Row],[//]]-2)="","",INDEX([6]!NOTA[DISC 2],J_UTAMA[[#This Row],[//]]-2)))</f>
        <v/>
      </c>
      <c r="Q12" s="11" t="str">
        <f ca="1">IF(J_UTAMA[[#This Row],[//]]="","",INDEX([6]!NOTA[JUMLAH],J_UTAMA[[#This Row],[//]]-2)*(100%-IF(ISNUMBER(J_UTAMA[[#This Row],[DISC 1 (%)]]),J_UTAMA[[#This Row],[DISC 1 (%)]],0)))</f>
        <v/>
      </c>
      <c r="R1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2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2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7" t="str">
        <f ca="1">IF(J_UTAMA[[#This Row],[//]]="","",INDEX([6]!NOTA[NAMA BARANG],J_UTAMA[[#This Row],[//]]-2))</f>
        <v/>
      </c>
      <c r="V12" s="17" t="str">
        <f ca="1">LOWER(SUBSTITUTE(SUBSTITUTE(SUBSTITUTE(SUBSTITUTE(SUBSTITUTE(SUBSTITUTE(SUBSTITUTE(J_UTAMA[[#This Row],[N.B.nota]]," ",""),"-",""),"(",""),")",""),".",""),",",""),"/",""))</f>
        <v/>
      </c>
      <c r="W12" s="17" t="s">
        <v>136</v>
      </c>
      <c r="X12" s="17" t="str">
        <f ca="1">IF(J_UTAMA[[#This Row],[N.B.nota]]="","",ADDRESS(ROW(J_UTAMA[QB]),COLUMN(J_UTAMA[QB]))&amp;":"&amp;ADDRESS(ROW(),COLUMN(J_UTAMA[QB])))</f>
        <v/>
      </c>
      <c r="Y12" s="17" t="str">
        <f ca="1">IF(J_UTAMA[[#This Row],[//]]="","",HYPERLINK("[..\\DB.xlsx]DB!e"&amp;MATCH(J_UTAMA[[#This Row],[concat]],[4]!db[NB NOTA_C],0)+1,"&gt;"))</f>
        <v/>
      </c>
    </row>
    <row r="13" spans="1:25" ht="15" customHeight="1" x14ac:dyDescent="0.25">
      <c r="A13" s="17" t="s">
        <v>63</v>
      </c>
      <c r="B13" s="9">
        <f ca="1">IF(J_UTAMA[[#This Row],[N_ID]]="","",INDEX(Table1[ID],MATCH(J_UTAMA[[#This Row],[N_ID]],Table1[N_ID],0)))</f>
        <v>49</v>
      </c>
      <c r="C13" s="9" t="str">
        <f ca="1">IF(J_UTAMA[[#This Row],[ID NOTA]]="","",HYPERLINK("[NOTA_.xlsx]NOTA!e"&amp;INDEX([6]!PAJAK[//],MATCH(J_UTAMA[[#This Row],[ID NOTA]],[6]!PAJAK[ID],0)),"&gt;") )</f>
        <v>&gt;</v>
      </c>
      <c r="D13" s="9">
        <f ca="1">IF(J_UTAMA[[#This Row],[ID NOTA]]="","",INDEX(Table1[QB],MATCH(J_UTAMA[[#This Row],[ID NOTA]],Table1[ID],0)))</f>
        <v>7</v>
      </c>
      <c r="E13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251</v>
      </c>
      <c r="F13" s="9">
        <f ca="1">IF(J_UTAMA[[#This Row],[NO. NOTA]]="","",INDEX('[5]99'!$A:$A,MATCH(J_UTAMA[[#This Row],[NO. NOTA]],'[5]99'!$D:$D,0)))</f>
        <v>2</v>
      </c>
      <c r="G13" s="10">
        <f ca="1">IF(J_UTAMA[[#This Row],[ID NOTA]]="","",INDEX([6]!NOTA[TGL_H],MATCH(J_UTAMA[[#This Row],[ID NOTA]],[6]!NOTA[ID],0)))</f>
        <v>44753</v>
      </c>
      <c r="H13" s="10">
        <f ca="1">IF(J_UTAMA[[#This Row],[ID NOTA]]="","",INDEX([6]!NOTA[TGL.NOTA],MATCH(J_UTAMA[[#This Row],[ID NOTA]],[6]!NOTA[ID],0)))</f>
        <v>44749</v>
      </c>
      <c r="I13" s="17" t="str">
        <f ca="1">IF(J_UTAMA[[#This Row],[ID NOTA]]="","",INDEX([6]!NOTA[NO.NOTA],MATCH(J_UTAMA[[#This Row],[ID NOTA]],[6]!NOTA[ID],0)))</f>
        <v>JUG182/22</v>
      </c>
      <c r="J13" s="17" t="s">
        <v>148</v>
      </c>
      <c r="K13" s="9">
        <f ca="1">IF(J_UTAMA[[#This Row],[//]]="","",INDEX([6]!NOTA[C],J_UTAMA[[#This Row],[//]]-2))</f>
        <v>1</v>
      </c>
      <c r="L13" s="9">
        <f ca="1">IF(J_UTAMA[[#This Row],[//]]="","",INDEX([6]!NOTA[QTY],J_UTAMA[[#This Row],[//]]-2))</f>
        <v>144</v>
      </c>
      <c r="M13" s="9" t="str">
        <f ca="1">IF(J_UTAMA[[#This Row],[//]]="","",INDEX([6]!NOTA[STN],J_UTAMA[[#This Row],[//]]-2))</f>
        <v>LSN</v>
      </c>
      <c r="N13" s="18">
        <f ca="1">IF(J_UTAMA[[#This Row],[//]]="","",INDEX([6]!NOTA[HARGA SATUAN],J_UTAMA[[#This Row],[//]]-2))</f>
        <v>18250</v>
      </c>
      <c r="O13" s="12" t="str">
        <f ca="1">IF(J_UTAMA[[#This Row],[//]]="","",IF(INDEX([6]!NOTA[DISC 1],J_UTAMA[[#This Row],[//]]-2)="","",INDEX([6]!NOTA[DISC 1],J_UTAMA[[#This Row],[//]]-2)))</f>
        <v/>
      </c>
      <c r="P13" s="12" t="str">
        <f ca="1">IF(J_UTAMA[[#This Row],[//]]="","",IF(INDEX([6]!NOTA[DISC 2],J_UTAMA[[#This Row],[//]]-2)="","",INDEX([6]!NOTA[DISC 2],J_UTAMA[[#This Row],[//]]-2)))</f>
        <v/>
      </c>
      <c r="Q13" s="11">
        <f ca="1">IF(J_UTAMA[[#This Row],[//]]="","",INDEX([6]!NOTA[JUMLAH],J_UTAMA[[#This Row],[//]]-2)*(100%-IF(ISNUMBER(J_UTAMA[[#This Row],[DISC 1 (%)]]),J_UTAMA[[#This Row],[DISC 1 (%)]],0)))</f>
        <v>2628000</v>
      </c>
      <c r="R1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7" t="str">
        <f ca="1">IF(J_UTAMA[[#This Row],[//]]="","",INDEX([6]!NOTA[NAMA BARANG],J_UTAMA[[#This Row],[//]]-2))</f>
        <v>GEL TIZO FANCY TG30600-E</v>
      </c>
      <c r="V13" s="17" t="str">
        <f ca="1">LOWER(SUBSTITUTE(SUBSTITUTE(SUBSTITUTE(SUBSTITUTE(SUBSTITUTE(SUBSTITUTE(SUBSTITUTE(J_UTAMA[[#This Row],[N.B.nota]]," ",""),"-",""),"(",""),")",""),".",""),",",""),"/",""))</f>
        <v>geltizofancytg30600e</v>
      </c>
      <c r="W13" s="9" t="s">
        <v>137</v>
      </c>
      <c r="X13" s="9" t="str">
        <f ca="1">IF(J_UTAMA[[#This Row],[N.B.nota]]="","",ADDRESS(ROW(J_UTAMA[QB]),COLUMN(J_UTAMA[QB]))&amp;":"&amp;ADDRESS(ROW(),COLUMN(J_UTAMA[QB])))</f>
        <v>$D$3:$D$13</v>
      </c>
      <c r="Y13" s="9" t="str">
        <f ca="1">IF(J_UTAMA[[#This Row],[//]]="","",HYPERLINK("[..\\DB.xlsx]DB!e"&amp;MATCH(J_UTAMA[[#This Row],[concat]],[4]!db[NB NOTA_C],0)+1,"&gt;"))</f>
        <v>&gt;</v>
      </c>
    </row>
    <row r="14" spans="1:25" ht="15" customHeight="1" x14ac:dyDescent="0.25">
      <c r="A14" s="9"/>
      <c r="B14" s="9" t="str">
        <f>IF(J_UTAMA[[#This Row],[N_ID]]="","",INDEX(Table1[ID],MATCH(J_UTAMA[[#This Row],[N_ID]],Table1[N_ID],0)))</f>
        <v/>
      </c>
      <c r="C14" s="9" t="str">
        <f>IF(J_UTAMA[[#This Row],[ID NOTA]]="","",HYPERLINK("[NOTA_.xlsx]NOTA!e"&amp;INDEX([6]!PAJAK[//],MATCH(J_UTAMA[[#This Row],[ID NOTA]],[6]!PAJAK[ID],0)),"&gt;") )</f>
        <v/>
      </c>
      <c r="D14" s="9" t="str">
        <f>IF(J_UTAMA[[#This Row],[ID NOTA]]="","",INDEX(Table1[QB],MATCH(J_UTAMA[[#This Row],[ID NOTA]],Table1[ID],0)))</f>
        <v/>
      </c>
      <c r="E14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252</v>
      </c>
      <c r="F14" s="9" t="str">
        <f>IF(J_UTAMA[[#This Row],[NO. NOTA]]="","",INDEX('[5]99'!$A:$A,MATCH(J_UTAMA[[#This Row],[NO. NOTA]],'[5]99'!$D:$D,0)))</f>
        <v/>
      </c>
      <c r="G14" s="10" t="str">
        <f>IF(J_UTAMA[[#This Row],[ID NOTA]]="","",INDEX([6]!NOTA[TGL_H],MATCH(J_UTAMA[[#This Row],[ID NOTA]],[6]!NOTA[ID],0)))</f>
        <v/>
      </c>
      <c r="H14" s="10" t="str">
        <f>IF(J_UTAMA[[#This Row],[ID NOTA]]="","",INDEX([6]!NOTA[TGL.NOTA],MATCH(J_UTAMA[[#This Row],[ID NOTA]],[6]!NOTA[ID],0)))</f>
        <v/>
      </c>
      <c r="I14" s="17" t="str">
        <f>IF(J_UTAMA[[#This Row],[ID NOTA]]="","",INDEX([6]!NOTA[NO.NOTA],MATCH(J_UTAMA[[#This Row],[ID NOTA]],[6]!NOTA[ID],0)))</f>
        <v/>
      </c>
      <c r="J14" s="17" t="s">
        <v>149</v>
      </c>
      <c r="K14" s="9">
        <f ca="1">IF(J_UTAMA[[#This Row],[//]]="","",INDEX([6]!NOTA[C],J_UTAMA[[#This Row],[//]]-2))</f>
        <v>1</v>
      </c>
      <c r="L14" s="9">
        <f ca="1">IF(J_UTAMA[[#This Row],[//]]="","",INDEX([6]!NOTA[QTY],J_UTAMA[[#This Row],[//]]-2))</f>
        <v>144</v>
      </c>
      <c r="M14" s="9" t="str">
        <f ca="1">IF(J_UTAMA[[#This Row],[//]]="","",INDEX([6]!NOTA[STN],J_UTAMA[[#This Row],[//]]-2))</f>
        <v>LSN</v>
      </c>
      <c r="N14" s="18">
        <f ca="1">IF(J_UTAMA[[#This Row],[//]]="","",INDEX([6]!NOTA[HARGA SATUAN],J_UTAMA[[#This Row],[//]]-2))</f>
        <v>18250</v>
      </c>
      <c r="O14" s="12" t="str">
        <f ca="1">IF(J_UTAMA[[#This Row],[//]]="","",IF(INDEX([6]!NOTA[DISC 1],J_UTAMA[[#This Row],[//]]-2)="","",INDEX([6]!NOTA[DISC 1],J_UTAMA[[#This Row],[//]]-2)))</f>
        <v/>
      </c>
      <c r="P14" s="12" t="str">
        <f ca="1">IF(J_UTAMA[[#This Row],[//]]="","",IF(INDEX([6]!NOTA[DISC 2],J_UTAMA[[#This Row],[//]]-2)="","",INDEX([6]!NOTA[DISC 2],J_UTAMA[[#This Row],[//]]-2)))</f>
        <v/>
      </c>
      <c r="Q14" s="11">
        <f ca="1">IF(J_UTAMA[[#This Row],[//]]="","",INDEX([6]!NOTA[JUMLAH],J_UTAMA[[#This Row],[//]]-2)*(100%-IF(ISNUMBER(J_UTAMA[[#This Row],[DISC 1 (%)]]),J_UTAMA[[#This Row],[DISC 1 (%)]],0)))</f>
        <v>2628000</v>
      </c>
      <c r="R1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4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7" t="str">
        <f ca="1">IF(J_UTAMA[[#This Row],[//]]="","",INDEX([6]!NOTA[NAMA BARANG],J_UTAMA[[#This Row],[//]]-2))</f>
        <v>GEL TIZO FANCY TG30541-E</v>
      </c>
      <c r="V14" s="17" t="str">
        <f ca="1">LOWER(SUBSTITUTE(SUBSTITUTE(SUBSTITUTE(SUBSTITUTE(SUBSTITUTE(SUBSTITUTE(SUBSTITUTE(J_UTAMA[[#This Row],[N.B.nota]]," ",""),"-",""),"(",""),")",""),".",""),",",""),"/",""))</f>
        <v>geltizofancytg30541e</v>
      </c>
      <c r="W14" s="9" t="s">
        <v>137</v>
      </c>
      <c r="X14" s="9" t="str">
        <f ca="1">IF(J_UTAMA[[#This Row],[N.B.nota]]="","",ADDRESS(ROW(J_UTAMA[QB]),COLUMN(J_UTAMA[QB]))&amp;":"&amp;ADDRESS(ROW(),COLUMN(J_UTAMA[QB])))</f>
        <v>$D$3:$D$14</v>
      </c>
      <c r="Y14" s="9" t="str">
        <f ca="1">IF(J_UTAMA[[#This Row],[//]]="","",HYPERLINK("[..\\DB.xlsx]DB!e"&amp;MATCH(J_UTAMA[[#This Row],[concat]],[4]!db[NB NOTA_C],0)+1,"&gt;"))</f>
        <v>&gt;</v>
      </c>
    </row>
    <row r="15" spans="1:25" ht="15" customHeight="1" x14ac:dyDescent="0.25">
      <c r="A15" s="9"/>
      <c r="B15" s="9" t="str">
        <f>IF(J_UTAMA[[#This Row],[N_ID]]="","",INDEX(Table1[ID],MATCH(J_UTAMA[[#This Row],[N_ID]],Table1[N_ID],0)))</f>
        <v/>
      </c>
      <c r="C15" s="9" t="str">
        <f>IF(J_UTAMA[[#This Row],[ID NOTA]]="","",HYPERLINK("[NOTA_.xlsx]NOTA!e"&amp;INDEX([6]!PAJAK[//],MATCH(J_UTAMA[[#This Row],[ID NOTA]],[6]!PAJAK[ID],0)),"&gt;") )</f>
        <v/>
      </c>
      <c r="D15" s="9" t="str">
        <f>IF(J_UTAMA[[#This Row],[ID NOTA]]="","",INDEX(Table1[QB],MATCH(J_UTAMA[[#This Row],[ID NOTA]],Table1[ID],0)))</f>
        <v/>
      </c>
      <c r="E15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253</v>
      </c>
      <c r="F15" s="9" t="str">
        <f>IF(J_UTAMA[[#This Row],[NO. NOTA]]="","",INDEX('[5]99'!$A:$A,MATCH(J_UTAMA[[#This Row],[NO. NOTA]],'[5]99'!$D:$D,0)))</f>
        <v/>
      </c>
      <c r="G15" s="10" t="str">
        <f>IF(J_UTAMA[[#This Row],[ID NOTA]]="","",INDEX([6]!NOTA[TGL_H],MATCH(J_UTAMA[[#This Row],[ID NOTA]],[6]!NOTA[ID],0)))</f>
        <v/>
      </c>
      <c r="H15" s="10" t="str">
        <f>IF(J_UTAMA[[#This Row],[ID NOTA]]="","",INDEX([6]!NOTA[TGL.NOTA],MATCH(J_UTAMA[[#This Row],[ID NOTA]],[6]!NOTA[ID],0)))</f>
        <v/>
      </c>
      <c r="I15" s="17" t="str">
        <f>IF(J_UTAMA[[#This Row],[ID NOTA]]="","",INDEX([6]!NOTA[NO.NOTA],MATCH(J_UTAMA[[#This Row],[ID NOTA]],[6]!NOTA[ID],0)))</f>
        <v/>
      </c>
      <c r="J15" s="17" t="s">
        <v>150</v>
      </c>
      <c r="K15" s="9">
        <f ca="1">IF(J_UTAMA[[#This Row],[//]]="","",INDEX([6]!NOTA[C],J_UTAMA[[#This Row],[//]]-2))</f>
        <v>1</v>
      </c>
      <c r="L15" s="9">
        <f ca="1">IF(J_UTAMA[[#This Row],[//]]="","",INDEX([6]!NOTA[QTY],J_UTAMA[[#This Row],[//]]-2))</f>
        <v>144</v>
      </c>
      <c r="M15" s="9" t="str">
        <f ca="1">IF(J_UTAMA[[#This Row],[//]]="","",INDEX([6]!NOTA[STN],J_UTAMA[[#This Row],[//]]-2))</f>
        <v>LSN</v>
      </c>
      <c r="N15" s="18">
        <f ca="1">IF(J_UTAMA[[#This Row],[//]]="","",INDEX([6]!NOTA[HARGA SATUAN],J_UTAMA[[#This Row],[//]]-2))</f>
        <v>18250</v>
      </c>
      <c r="O15" s="12" t="str">
        <f ca="1">IF(J_UTAMA[[#This Row],[//]]="","",IF(INDEX([6]!NOTA[DISC 1],J_UTAMA[[#This Row],[//]]-2)="","",INDEX([6]!NOTA[DISC 1],J_UTAMA[[#This Row],[//]]-2)))</f>
        <v/>
      </c>
      <c r="P15" s="12" t="str">
        <f ca="1">IF(J_UTAMA[[#This Row],[//]]="","",IF(INDEX([6]!NOTA[DISC 2],J_UTAMA[[#This Row],[//]]-2)="","",INDEX([6]!NOTA[DISC 2],J_UTAMA[[#This Row],[//]]-2)))</f>
        <v/>
      </c>
      <c r="Q15" s="11">
        <f ca="1">IF(J_UTAMA[[#This Row],[//]]="","",INDEX([6]!NOTA[JUMLAH],J_UTAMA[[#This Row],[//]]-2)*(100%-IF(ISNUMBER(J_UTAMA[[#This Row],[DISC 1 (%)]]),J_UTAMA[[#This Row],[DISC 1 (%)]],0)))</f>
        <v>2628000</v>
      </c>
      <c r="R1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5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7" t="str">
        <f ca="1">IF(J_UTAMA[[#This Row],[//]]="","",INDEX([6]!NOTA[NAMA BARANG],J_UTAMA[[#This Row],[//]]-2))</f>
        <v>GEL TIZO FANCY TG31810-E</v>
      </c>
      <c r="V15" s="17" t="str">
        <f ca="1">LOWER(SUBSTITUTE(SUBSTITUTE(SUBSTITUTE(SUBSTITUTE(SUBSTITUTE(SUBSTITUTE(SUBSTITUTE(J_UTAMA[[#This Row],[N.B.nota]]," ",""),"-",""),"(",""),")",""),".",""),",",""),"/",""))</f>
        <v>geltizofancytg31810e</v>
      </c>
      <c r="W15" s="9" t="s">
        <v>137</v>
      </c>
      <c r="X15" s="9" t="str">
        <f ca="1">IF(J_UTAMA[[#This Row],[N.B.nota]]="","",ADDRESS(ROW(J_UTAMA[QB]),COLUMN(J_UTAMA[QB]))&amp;":"&amp;ADDRESS(ROW(),COLUMN(J_UTAMA[QB])))</f>
        <v>$D$3:$D$15</v>
      </c>
      <c r="Y15" s="9" t="str">
        <f ca="1">IF(J_UTAMA[[#This Row],[//]]="","",HYPERLINK("[..\\DB.xlsx]DB!e"&amp;MATCH(J_UTAMA[[#This Row],[concat]],[4]!db[NB NOTA_C],0)+1,"&gt;"))</f>
        <v>&gt;</v>
      </c>
    </row>
    <row r="16" spans="1:25" ht="15" customHeight="1" x14ac:dyDescent="0.25">
      <c r="A16" s="9"/>
      <c r="B16" s="9" t="str">
        <f>IF(J_UTAMA[[#This Row],[N_ID]]="","",INDEX(Table1[ID],MATCH(J_UTAMA[[#This Row],[N_ID]],Table1[N_ID],0)))</f>
        <v/>
      </c>
      <c r="C16" s="9" t="str">
        <f>IF(J_UTAMA[[#This Row],[ID NOTA]]="","",HYPERLINK("[NOTA_.xlsx]NOTA!e"&amp;INDEX([6]!PAJAK[//],MATCH(J_UTAMA[[#This Row],[ID NOTA]],[6]!PAJAK[ID],0)),"&gt;") )</f>
        <v/>
      </c>
      <c r="D16" s="9" t="str">
        <f>IF(J_UTAMA[[#This Row],[ID NOTA]]="","",INDEX(Table1[QB],MATCH(J_UTAMA[[#This Row],[ID NOTA]],Table1[ID],0)))</f>
        <v/>
      </c>
      <c r="E16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254</v>
      </c>
      <c r="F16" s="9" t="str">
        <f>IF(J_UTAMA[[#This Row],[NO. NOTA]]="","",INDEX('[5]99'!$A:$A,MATCH(J_UTAMA[[#This Row],[NO. NOTA]],'[5]99'!$D:$D,0)))</f>
        <v/>
      </c>
      <c r="G16" s="10" t="str">
        <f>IF(J_UTAMA[[#This Row],[ID NOTA]]="","",INDEX([6]!NOTA[TGL_H],MATCH(J_UTAMA[[#This Row],[ID NOTA]],[6]!NOTA[ID],0)))</f>
        <v/>
      </c>
      <c r="H16" s="10" t="str">
        <f>IF(J_UTAMA[[#This Row],[ID NOTA]]="","",INDEX([6]!NOTA[TGL.NOTA],MATCH(J_UTAMA[[#This Row],[ID NOTA]],[6]!NOTA[ID],0)))</f>
        <v/>
      </c>
      <c r="I16" s="17" t="str">
        <f>IF(J_UTAMA[[#This Row],[ID NOTA]]="","",INDEX([6]!NOTA[NO.NOTA],MATCH(J_UTAMA[[#This Row],[ID NOTA]],[6]!NOTA[ID],0)))</f>
        <v/>
      </c>
      <c r="J16" s="17" t="s">
        <v>151</v>
      </c>
      <c r="K16" s="9">
        <f ca="1">IF(J_UTAMA[[#This Row],[//]]="","",INDEX([6]!NOTA[C],J_UTAMA[[#This Row],[//]]-2))</f>
        <v>1</v>
      </c>
      <c r="L16" s="9">
        <f ca="1">IF(J_UTAMA[[#This Row],[//]]="","",INDEX([6]!NOTA[QTY],J_UTAMA[[#This Row],[//]]-2))</f>
        <v>144</v>
      </c>
      <c r="M16" s="9" t="str">
        <f ca="1">IF(J_UTAMA[[#This Row],[//]]="","",INDEX([6]!NOTA[STN],J_UTAMA[[#This Row],[//]]-2))</f>
        <v>LSN</v>
      </c>
      <c r="N16" s="18">
        <f ca="1">IF(J_UTAMA[[#This Row],[//]]="","",INDEX([6]!NOTA[HARGA SATUAN],J_UTAMA[[#This Row],[//]]-2))</f>
        <v>18250</v>
      </c>
      <c r="O16" s="12" t="str">
        <f ca="1">IF(J_UTAMA[[#This Row],[//]]="","",IF(INDEX([6]!NOTA[DISC 1],J_UTAMA[[#This Row],[//]]-2)="","",INDEX([6]!NOTA[DISC 1],J_UTAMA[[#This Row],[//]]-2)))</f>
        <v/>
      </c>
      <c r="P16" s="12" t="str">
        <f ca="1">IF(J_UTAMA[[#This Row],[//]]="","",IF(INDEX([6]!NOTA[DISC 2],J_UTAMA[[#This Row],[//]]-2)="","",INDEX([6]!NOTA[DISC 2],J_UTAMA[[#This Row],[//]]-2)))</f>
        <v/>
      </c>
      <c r="Q16" s="11">
        <f ca="1">IF(J_UTAMA[[#This Row],[//]]="","",INDEX([6]!NOTA[JUMLAH],J_UTAMA[[#This Row],[//]]-2)*(100%-IF(ISNUMBER(J_UTAMA[[#This Row],[DISC 1 (%)]]),J_UTAMA[[#This Row],[DISC 1 (%)]],0)))</f>
        <v>2628000</v>
      </c>
      <c r="R1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6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7" t="str">
        <f ca="1">IF(J_UTAMA[[#This Row],[//]]="","",INDEX([6]!NOTA[NAMA BARANG],J_UTAMA[[#This Row],[//]]-2))</f>
        <v>GEL TIZO FANCY TG31590-E</v>
      </c>
      <c r="V16" s="17" t="str">
        <f ca="1">LOWER(SUBSTITUTE(SUBSTITUTE(SUBSTITUTE(SUBSTITUTE(SUBSTITUTE(SUBSTITUTE(SUBSTITUTE(J_UTAMA[[#This Row],[N.B.nota]]," ",""),"-",""),"(",""),")",""),".",""),",",""),"/",""))</f>
        <v>geltizofancytg31590e</v>
      </c>
      <c r="W16" s="9" t="s">
        <v>137</v>
      </c>
      <c r="X16" s="9" t="str">
        <f ca="1">IF(J_UTAMA[[#This Row],[N.B.nota]]="","",ADDRESS(ROW(J_UTAMA[QB]),COLUMN(J_UTAMA[QB]))&amp;":"&amp;ADDRESS(ROW(),COLUMN(J_UTAMA[QB])))</f>
        <v>$D$3:$D$16</v>
      </c>
      <c r="Y16" s="9" t="str">
        <f ca="1">IF(J_UTAMA[[#This Row],[//]]="","",HYPERLINK("[..\\DB.xlsx]DB!e"&amp;MATCH(J_UTAMA[[#This Row],[concat]],[4]!db[NB NOTA_C],0)+1,"&gt;"))</f>
        <v>&gt;</v>
      </c>
    </row>
    <row r="17" spans="1:25" ht="15" customHeight="1" x14ac:dyDescent="0.25">
      <c r="A17" s="9"/>
      <c r="B17" s="9" t="str">
        <f>IF(J_UTAMA[[#This Row],[N_ID]]="","",INDEX(Table1[ID],MATCH(J_UTAMA[[#This Row],[N_ID]],Table1[N_ID],0)))</f>
        <v/>
      </c>
      <c r="C17" s="9" t="str">
        <f>IF(J_UTAMA[[#This Row],[ID NOTA]]="","",HYPERLINK("[NOTA_.xlsx]NOTA!e"&amp;INDEX([6]!PAJAK[//],MATCH(J_UTAMA[[#This Row],[ID NOTA]],[6]!PAJAK[ID],0)),"&gt;") )</f>
        <v/>
      </c>
      <c r="D17" s="9" t="str">
        <f>IF(J_UTAMA[[#This Row],[ID NOTA]]="","",INDEX(Table1[QB],MATCH(J_UTAMA[[#This Row],[ID NOTA]],Table1[ID],0)))</f>
        <v/>
      </c>
      <c r="E17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255</v>
      </c>
      <c r="F17" s="9" t="str">
        <f>IF(J_UTAMA[[#This Row],[NO. NOTA]]="","",INDEX('[5]99'!$A:$A,MATCH(J_UTAMA[[#This Row],[NO. NOTA]],'[5]99'!$D:$D,0)))</f>
        <v/>
      </c>
      <c r="G17" s="10" t="str">
        <f>IF(J_UTAMA[[#This Row],[ID NOTA]]="","",INDEX([6]!NOTA[TGL_H],MATCH(J_UTAMA[[#This Row],[ID NOTA]],[6]!NOTA[ID],0)))</f>
        <v/>
      </c>
      <c r="H17" s="10" t="str">
        <f>IF(J_UTAMA[[#This Row],[ID NOTA]]="","",INDEX([6]!NOTA[TGL.NOTA],MATCH(J_UTAMA[[#This Row],[ID NOTA]],[6]!NOTA[ID],0)))</f>
        <v/>
      </c>
      <c r="I17" s="17" t="str">
        <f>IF(J_UTAMA[[#This Row],[ID NOTA]]="","",INDEX([6]!NOTA[NO.NOTA],MATCH(J_UTAMA[[#This Row],[ID NOTA]],[6]!NOTA[ID],0)))</f>
        <v/>
      </c>
      <c r="J17" s="17" t="s">
        <v>152</v>
      </c>
      <c r="K17" s="9">
        <f ca="1">IF(J_UTAMA[[#This Row],[//]]="","",INDEX([6]!NOTA[C],J_UTAMA[[#This Row],[//]]-2))</f>
        <v>1</v>
      </c>
      <c r="L17" s="9">
        <f ca="1">IF(J_UTAMA[[#This Row],[//]]="","",INDEX([6]!NOTA[QTY],J_UTAMA[[#This Row],[//]]-2))</f>
        <v>144</v>
      </c>
      <c r="M17" s="9" t="str">
        <f ca="1">IF(J_UTAMA[[#This Row],[//]]="","",INDEX([6]!NOTA[STN],J_UTAMA[[#This Row],[//]]-2))</f>
        <v>LSN</v>
      </c>
      <c r="N17" s="18">
        <f ca="1">IF(J_UTAMA[[#This Row],[//]]="","",INDEX([6]!NOTA[HARGA SATUAN],J_UTAMA[[#This Row],[//]]-2))</f>
        <v>18250</v>
      </c>
      <c r="O17" s="12" t="str">
        <f ca="1">IF(J_UTAMA[[#This Row],[//]]="","",IF(INDEX([6]!NOTA[DISC 1],J_UTAMA[[#This Row],[//]]-2)="","",INDEX([6]!NOTA[DISC 1],J_UTAMA[[#This Row],[//]]-2)))</f>
        <v/>
      </c>
      <c r="P17" s="12" t="str">
        <f ca="1">IF(J_UTAMA[[#This Row],[//]]="","",IF(INDEX([6]!NOTA[DISC 2],J_UTAMA[[#This Row],[//]]-2)="","",INDEX([6]!NOTA[DISC 2],J_UTAMA[[#This Row],[//]]-2)))</f>
        <v/>
      </c>
      <c r="Q17" s="11">
        <f ca="1">IF(J_UTAMA[[#This Row],[//]]="","",INDEX([6]!NOTA[JUMLAH],J_UTAMA[[#This Row],[//]]-2)*(100%-IF(ISNUMBER(J_UTAMA[[#This Row],[DISC 1 (%)]]),J_UTAMA[[#This Row],[DISC 1 (%)]],0)))</f>
        <v>2628000</v>
      </c>
      <c r="R1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7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7" t="str">
        <f ca="1">IF(J_UTAMA[[#This Row],[//]]="","",INDEX([6]!NOTA[NAMA BARANG],J_UTAMA[[#This Row],[//]]-2))</f>
        <v>GEL TIZO FANCY TG31975-E</v>
      </c>
      <c r="V17" s="17" t="str">
        <f ca="1">LOWER(SUBSTITUTE(SUBSTITUTE(SUBSTITUTE(SUBSTITUTE(SUBSTITUTE(SUBSTITUTE(SUBSTITUTE(J_UTAMA[[#This Row],[N.B.nota]]," ",""),"-",""),"(",""),")",""),".",""),",",""),"/",""))</f>
        <v>geltizofancytg31975e</v>
      </c>
      <c r="W17" s="9" t="s">
        <v>137</v>
      </c>
      <c r="X17" s="9" t="str">
        <f ca="1">IF(J_UTAMA[[#This Row],[N.B.nota]]="","",ADDRESS(ROW(J_UTAMA[QB]),COLUMN(J_UTAMA[QB]))&amp;":"&amp;ADDRESS(ROW(),COLUMN(J_UTAMA[QB])))</f>
        <v>$D$3:$D$17</v>
      </c>
      <c r="Y17" s="9" t="str">
        <f ca="1">IF(J_UTAMA[[#This Row],[//]]="","",HYPERLINK("[..\\DB.xlsx]DB!e"&amp;MATCH(J_UTAMA[[#This Row],[concat]],[4]!db[NB NOTA_C],0)+1,"&gt;"))</f>
        <v>&gt;</v>
      </c>
    </row>
    <row r="18" spans="1:25" ht="15" customHeight="1" x14ac:dyDescent="0.25">
      <c r="A18" s="9"/>
      <c r="B18" s="9" t="str">
        <f>IF(J_UTAMA[[#This Row],[N_ID]]="","",INDEX(Table1[ID],MATCH(J_UTAMA[[#This Row],[N_ID]],Table1[N_ID],0)))</f>
        <v/>
      </c>
      <c r="C18" s="9" t="str">
        <f>IF(J_UTAMA[[#This Row],[ID NOTA]]="","",HYPERLINK("[NOTA_.xlsx]NOTA!e"&amp;INDEX([6]!PAJAK[//],MATCH(J_UTAMA[[#This Row],[ID NOTA]],[6]!PAJAK[ID],0)),"&gt;") )</f>
        <v/>
      </c>
      <c r="D18" s="9" t="str">
        <f>IF(J_UTAMA[[#This Row],[ID NOTA]]="","",INDEX(Table1[QB],MATCH(J_UTAMA[[#This Row],[ID NOTA]],Table1[ID],0)))</f>
        <v/>
      </c>
      <c r="E18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256</v>
      </c>
      <c r="F18" s="9" t="str">
        <f>IF(J_UTAMA[[#This Row],[NO. NOTA]]="","",INDEX('[5]99'!$A:$A,MATCH(J_UTAMA[[#This Row],[NO. NOTA]],'[5]99'!$D:$D,0)))</f>
        <v/>
      </c>
      <c r="G18" s="10" t="str">
        <f>IF(J_UTAMA[[#This Row],[ID NOTA]]="","",INDEX([6]!NOTA[TGL_H],MATCH(J_UTAMA[[#This Row],[ID NOTA]],[6]!NOTA[ID],0)))</f>
        <v/>
      </c>
      <c r="H18" s="10" t="str">
        <f>IF(J_UTAMA[[#This Row],[ID NOTA]]="","",INDEX([6]!NOTA[TGL.NOTA],MATCH(J_UTAMA[[#This Row],[ID NOTA]],[6]!NOTA[ID],0)))</f>
        <v/>
      </c>
      <c r="I18" s="17" t="str">
        <f>IF(J_UTAMA[[#This Row],[ID NOTA]]="","",INDEX([6]!NOTA[NO.NOTA],MATCH(J_UTAMA[[#This Row],[ID NOTA]],[6]!NOTA[ID],0)))</f>
        <v/>
      </c>
      <c r="J18" s="17" t="s">
        <v>153</v>
      </c>
      <c r="K18" s="9">
        <f ca="1">IF(J_UTAMA[[#This Row],[//]]="","",INDEX([6]!NOTA[C],J_UTAMA[[#This Row],[//]]-2))</f>
        <v>1</v>
      </c>
      <c r="L18" s="9">
        <f ca="1">IF(J_UTAMA[[#This Row],[//]]="","",INDEX([6]!NOTA[QTY],J_UTAMA[[#This Row],[//]]-2))</f>
        <v>144</v>
      </c>
      <c r="M18" s="9" t="str">
        <f ca="1">IF(J_UTAMA[[#This Row],[//]]="","",INDEX([6]!NOTA[STN],J_UTAMA[[#This Row],[//]]-2))</f>
        <v>LSN</v>
      </c>
      <c r="N18" s="18">
        <f ca="1">IF(J_UTAMA[[#This Row],[//]]="","",INDEX([6]!NOTA[HARGA SATUAN],J_UTAMA[[#This Row],[//]]-2))</f>
        <v>18250</v>
      </c>
      <c r="O18" s="12" t="str">
        <f ca="1">IF(J_UTAMA[[#This Row],[//]]="","",IF(INDEX([6]!NOTA[DISC 1],J_UTAMA[[#This Row],[//]]-2)="","",INDEX([6]!NOTA[DISC 1],J_UTAMA[[#This Row],[//]]-2)))</f>
        <v/>
      </c>
      <c r="P18" s="12" t="str">
        <f ca="1">IF(J_UTAMA[[#This Row],[//]]="","",IF(INDEX([6]!NOTA[DISC 2],J_UTAMA[[#This Row],[//]]-2)="","",INDEX([6]!NOTA[DISC 2],J_UTAMA[[#This Row],[//]]-2)))</f>
        <v/>
      </c>
      <c r="Q18" s="11">
        <f ca="1">IF(J_UTAMA[[#This Row],[//]]="","",INDEX([6]!NOTA[JUMLAH],J_UTAMA[[#This Row],[//]]-2)*(100%-IF(ISNUMBER(J_UTAMA[[#This Row],[DISC 1 (%)]]),J_UTAMA[[#This Row],[DISC 1 (%)]],0)))</f>
        <v>2628000</v>
      </c>
      <c r="R1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8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7" t="str">
        <f ca="1">IF(J_UTAMA[[#This Row],[//]]="","",INDEX([6]!NOTA[NAMA BARANG],J_UTAMA[[#This Row],[//]]-2))</f>
        <v>GEL TIZO FANCY TG31763-E</v>
      </c>
      <c r="V18" s="17" t="str">
        <f ca="1">LOWER(SUBSTITUTE(SUBSTITUTE(SUBSTITUTE(SUBSTITUTE(SUBSTITUTE(SUBSTITUTE(SUBSTITUTE(J_UTAMA[[#This Row],[N.B.nota]]," ",""),"-",""),"(",""),")",""),".",""),",",""),"/",""))</f>
        <v>geltizofancytg31763e</v>
      </c>
      <c r="W18" s="9" t="s">
        <v>137</v>
      </c>
      <c r="X18" s="9" t="str">
        <f ca="1">IF(J_UTAMA[[#This Row],[N.B.nota]]="","",ADDRESS(ROW(J_UTAMA[QB]),COLUMN(J_UTAMA[QB]))&amp;":"&amp;ADDRESS(ROW(),COLUMN(J_UTAMA[QB])))</f>
        <v>$D$3:$D$18</v>
      </c>
      <c r="Y18" s="9" t="str">
        <f ca="1">IF(J_UTAMA[[#This Row],[//]]="","",HYPERLINK("[..\\DB.xlsx]DB!e"&amp;MATCH(J_UTAMA[[#This Row],[concat]],[4]!db[NB NOTA_C],0)+1,"&gt;"))</f>
        <v>&gt;</v>
      </c>
    </row>
    <row r="19" spans="1:25" ht="15" customHeight="1" x14ac:dyDescent="0.25">
      <c r="A19" s="9"/>
      <c r="B19" s="9" t="str">
        <f>IF(J_UTAMA[[#This Row],[N_ID]]="","",INDEX(Table1[ID],MATCH(J_UTAMA[[#This Row],[N_ID]],Table1[N_ID],0)))</f>
        <v/>
      </c>
      <c r="C19" s="9" t="str">
        <f>IF(J_UTAMA[[#This Row],[ID NOTA]]="","",HYPERLINK("[NOTA_.xlsx]NOTA!e"&amp;INDEX([6]!PAJAK[//],MATCH(J_UTAMA[[#This Row],[ID NOTA]],[6]!PAJAK[ID],0)),"&gt;") )</f>
        <v/>
      </c>
      <c r="D19" s="9" t="str">
        <f>IF(J_UTAMA[[#This Row],[ID NOTA]]="","",INDEX(Table1[QB],MATCH(J_UTAMA[[#This Row],[ID NOTA]],Table1[ID],0)))</f>
        <v/>
      </c>
      <c r="E19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257</v>
      </c>
      <c r="F19" s="9" t="str">
        <f>IF(J_UTAMA[[#This Row],[NO. NOTA]]="","",INDEX('[5]99'!$A:$A,MATCH(J_UTAMA[[#This Row],[NO. NOTA]],'[5]99'!$D:$D,0)))</f>
        <v/>
      </c>
      <c r="G19" s="10" t="str">
        <f>IF(J_UTAMA[[#This Row],[ID NOTA]]="","",INDEX([6]!NOTA[TGL_H],MATCH(J_UTAMA[[#This Row],[ID NOTA]],[6]!NOTA[ID],0)))</f>
        <v/>
      </c>
      <c r="H19" s="10" t="str">
        <f>IF(J_UTAMA[[#This Row],[ID NOTA]]="","",INDEX([6]!NOTA[TGL.NOTA],MATCH(J_UTAMA[[#This Row],[ID NOTA]],[6]!NOTA[ID],0)))</f>
        <v/>
      </c>
      <c r="I19" s="17" t="str">
        <f>IF(J_UTAMA[[#This Row],[ID NOTA]]="","",INDEX([6]!NOTA[NO.NOTA],MATCH(J_UTAMA[[#This Row],[ID NOTA]],[6]!NOTA[ID],0)))</f>
        <v/>
      </c>
      <c r="J19" s="17" t="s">
        <v>154</v>
      </c>
      <c r="K19" s="9">
        <f ca="1">IF(J_UTAMA[[#This Row],[//]]="","",INDEX([6]!NOTA[C],J_UTAMA[[#This Row],[//]]-2))</f>
        <v>1</v>
      </c>
      <c r="L19" s="9">
        <f ca="1">IF(J_UTAMA[[#This Row],[//]]="","",INDEX([6]!NOTA[QTY],J_UTAMA[[#This Row],[//]]-2))</f>
        <v>144</v>
      </c>
      <c r="M19" s="9" t="str">
        <f ca="1">IF(J_UTAMA[[#This Row],[//]]="","",INDEX([6]!NOTA[STN],J_UTAMA[[#This Row],[//]]-2))</f>
        <v>LSN</v>
      </c>
      <c r="N19" s="18">
        <f ca="1">IF(J_UTAMA[[#This Row],[//]]="","",INDEX([6]!NOTA[HARGA SATUAN],J_UTAMA[[#This Row],[//]]-2))</f>
        <v>0</v>
      </c>
      <c r="O19" s="12" t="str">
        <f ca="1">IF(J_UTAMA[[#This Row],[//]]="","",IF(INDEX([6]!NOTA[DISC 1],J_UTAMA[[#This Row],[//]]-2)="","",INDEX([6]!NOTA[DISC 1],J_UTAMA[[#This Row],[//]]-2)))</f>
        <v/>
      </c>
      <c r="P19" s="12" t="str">
        <f ca="1">IF(J_UTAMA[[#This Row],[//]]="","",IF(INDEX([6]!NOTA[DISC 2],J_UTAMA[[#This Row],[//]]-2)="","",INDEX([6]!NOTA[DISC 2],J_UTAMA[[#This Row],[//]]-2)))</f>
        <v/>
      </c>
      <c r="Q19" s="11">
        <f ca="1">IF(J_UTAMA[[#This Row],[//]]="","",INDEX([6]!NOTA[JUMLAH],J_UTAMA[[#This Row],[//]]-2)*(100%-IF(ISNUMBER(J_UTAMA[[#This Row],[DISC 1 (%)]]),J_UTAMA[[#This Row],[DISC 1 (%)]],0)))</f>
        <v>0</v>
      </c>
      <c r="R19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0</v>
      </c>
      <c r="S19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15768000</v>
      </c>
      <c r="T19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>BONUS</v>
      </c>
      <c r="U19" s="17" t="str">
        <f ca="1">IF(J_UTAMA[[#This Row],[//]]="","",INDEX([6]!NOTA[NAMA BARANG],J_UTAMA[[#This Row],[//]]-2))</f>
        <v>GEL TIZO FANCY TG30802-E</v>
      </c>
      <c r="V19" s="17" t="str">
        <f ca="1">LOWER(SUBSTITUTE(SUBSTITUTE(SUBSTITUTE(SUBSTITUTE(SUBSTITUTE(SUBSTITUTE(SUBSTITUTE(J_UTAMA[[#This Row],[N.B.nota]]," ",""),"-",""),"(",""),")",""),".",""),",",""),"/",""))</f>
        <v>geltizofancytg30802e</v>
      </c>
      <c r="W19" s="9" t="s">
        <v>137</v>
      </c>
      <c r="X19" s="9" t="str">
        <f ca="1">IF(J_UTAMA[[#This Row],[N.B.nota]]="","",ADDRESS(ROW(J_UTAMA[QB]),COLUMN(J_UTAMA[QB]))&amp;":"&amp;ADDRESS(ROW(),COLUMN(J_UTAMA[QB])))</f>
        <v>$D$3:$D$19</v>
      </c>
      <c r="Y19" s="9" t="str">
        <f ca="1">IF(J_UTAMA[[#This Row],[//]]="","",HYPERLINK("[..\\DB.xlsx]DB!e"&amp;MATCH(J_UTAMA[[#This Row],[concat]],[4]!db[NB NOTA_C],0)+1,"&gt;"))</f>
        <v>&gt;</v>
      </c>
    </row>
    <row r="20" spans="1:25" ht="15" customHeight="1" x14ac:dyDescent="0.25">
      <c r="A20" s="9"/>
      <c r="B20" s="9" t="str">
        <f>IF(J_UTAMA[[#This Row],[N_ID]]="","",INDEX(Table1[ID],MATCH(J_UTAMA[[#This Row],[N_ID]],Table1[N_ID],0)))</f>
        <v/>
      </c>
      <c r="C20" s="9" t="str">
        <f>IF(J_UTAMA[[#This Row],[ID NOTA]]="","",HYPERLINK("[NOTA_.xlsx]NOTA!e"&amp;INDEX([6]!PAJAK[//],MATCH(J_UTAMA[[#This Row],[ID NOTA]],[6]!PAJAK[ID],0)),"&gt;") )</f>
        <v/>
      </c>
      <c r="D20" s="9" t="str">
        <f>IF(J_UTAMA[[#This Row],[ID NOTA]]="","",INDEX(Table1[QB],MATCH(J_UTAMA[[#This Row],[ID NOTA]],Table1[ID],0)))</f>
        <v/>
      </c>
      <c r="E20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0" s="9" t="str">
        <f>IF(J_UTAMA[[#This Row],[NO. NOTA]]="","",INDEX('[5]99'!$A:$A,MATCH(J_UTAMA[[#This Row],[NO. NOTA]],'[5]99'!$D:$D,0)))</f>
        <v/>
      </c>
      <c r="G20" s="10" t="str">
        <f>IF(J_UTAMA[[#This Row],[ID NOTA]]="","",INDEX([6]!NOTA[TGL_H],MATCH(J_UTAMA[[#This Row],[ID NOTA]],[6]!NOTA[ID],0)))</f>
        <v/>
      </c>
      <c r="H20" s="10" t="str">
        <f>IF(J_UTAMA[[#This Row],[ID NOTA]]="","",INDEX([6]!NOTA[TGL.NOTA],MATCH(J_UTAMA[[#This Row],[ID NOTA]],[6]!NOTA[ID],0)))</f>
        <v/>
      </c>
      <c r="I20" s="17" t="str">
        <f>IF(J_UTAMA[[#This Row],[ID NOTA]]="","",INDEX([6]!NOTA[NO.NOTA],MATCH(J_UTAMA[[#This Row],[ID NOTA]],[6]!NOTA[ID],0)))</f>
        <v/>
      </c>
      <c r="J20" s="17" t="s">
        <v>136</v>
      </c>
      <c r="K20" s="9" t="str">
        <f ca="1">IF(J_UTAMA[[#This Row],[//]]="","",INDEX([6]!NOTA[C],J_UTAMA[[#This Row],[//]]-2))</f>
        <v/>
      </c>
      <c r="L20" s="9" t="str">
        <f ca="1">IF(J_UTAMA[[#This Row],[//]]="","",INDEX([6]!NOTA[QTY],J_UTAMA[[#This Row],[//]]-2))</f>
        <v/>
      </c>
      <c r="M20" s="9" t="str">
        <f ca="1">IF(J_UTAMA[[#This Row],[//]]="","",INDEX([6]!NOTA[STN],J_UTAMA[[#This Row],[//]]-2))</f>
        <v/>
      </c>
      <c r="N20" s="11" t="str">
        <f ca="1">IF(J_UTAMA[[#This Row],[//]]="","",INDEX([6]!NOTA[HARGA SATUAN],J_UTAMA[[#This Row],[//]]-2))</f>
        <v/>
      </c>
      <c r="O20" s="12" t="str">
        <f ca="1">IF(J_UTAMA[[#This Row],[//]]="","",IF(INDEX([6]!NOTA[DISC 1],J_UTAMA[[#This Row],[//]]-2)="","",INDEX([6]!NOTA[DISC 1],J_UTAMA[[#This Row],[//]]-2)))</f>
        <v/>
      </c>
      <c r="P20" s="12" t="str">
        <f ca="1">IF(J_UTAMA[[#This Row],[//]]="","",IF(INDEX([6]!NOTA[DISC 2],J_UTAMA[[#This Row],[//]]-2)="","",INDEX([6]!NOTA[DISC 2],J_UTAMA[[#This Row],[//]]-2)))</f>
        <v/>
      </c>
      <c r="Q20" s="11" t="str">
        <f ca="1">IF(J_UTAMA[[#This Row],[//]]="","",INDEX([6]!NOTA[JUMLAH],J_UTAMA[[#This Row],[//]]-2)*(100%-IF(ISNUMBER(J_UTAMA[[#This Row],[DISC 1 (%)]]),J_UTAMA[[#This Row],[DISC 1 (%)]],0)))</f>
        <v/>
      </c>
      <c r="R2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0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7" t="str">
        <f ca="1">IF(J_UTAMA[[#This Row],[//]]="","",INDEX([6]!NOTA[NAMA BARANG],J_UTAMA[[#This Row],[//]]-2))</f>
        <v/>
      </c>
      <c r="V20" s="17" t="str">
        <f ca="1">LOWER(SUBSTITUTE(SUBSTITUTE(SUBSTITUTE(SUBSTITUTE(SUBSTITUTE(SUBSTITUTE(SUBSTITUTE(J_UTAMA[[#This Row],[N.B.nota]]," ",""),"-",""),"(",""),")",""),".",""),",",""),"/",""))</f>
        <v/>
      </c>
      <c r="W20" s="9" t="s">
        <v>136</v>
      </c>
      <c r="X20" s="9" t="str">
        <f ca="1">IF(J_UTAMA[[#This Row],[N.B.nota]]="","",ADDRESS(ROW(J_UTAMA[QB]),COLUMN(J_UTAMA[QB]))&amp;":"&amp;ADDRESS(ROW(),COLUMN(J_UTAMA[QB])))</f>
        <v/>
      </c>
      <c r="Y20" s="9" t="str">
        <f ca="1">IF(J_UTAMA[[#This Row],[//]]="","",HYPERLINK("[..\\DB.xlsx]DB!e"&amp;MATCH(J_UTAMA[[#This Row],[concat]],[4]!db[NB NOTA_C],0)+1,"&gt;"))</f>
        <v/>
      </c>
    </row>
    <row r="21" spans="1:25" ht="15" customHeight="1" x14ac:dyDescent="0.25">
      <c r="A21" s="9"/>
      <c r="B21" s="9" t="str">
        <f>IF(J_UTAMA[[#This Row],[N_ID]]="","",INDEX(Table1[ID],MATCH(J_UTAMA[[#This Row],[N_ID]],Table1[N_ID],0)))</f>
        <v/>
      </c>
      <c r="C21" s="9" t="str">
        <f>IF(J_UTAMA[[#This Row],[ID NOTA]]="","",HYPERLINK("[NOTA_.xlsx]NOTA!e"&amp;INDEX([6]!PAJAK[//],MATCH(J_UTAMA[[#This Row],[ID NOTA]],[6]!PAJAK[ID],0)),"&gt;") )</f>
        <v/>
      </c>
      <c r="D21" s="9" t="str">
        <f>IF(J_UTAMA[[#This Row],[ID NOTA]]="","",INDEX(Table1[QB],MATCH(J_UTAMA[[#This Row],[ID NOTA]],Table1[ID],0)))</f>
        <v/>
      </c>
      <c r="E21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1" s="9" t="str">
        <f>IF(J_UTAMA[[#This Row],[NO. NOTA]]="","",INDEX('[5]99'!$A:$A,MATCH(J_UTAMA[[#This Row],[NO. NOTA]],'[5]99'!$D:$D,0)))</f>
        <v/>
      </c>
      <c r="G21" s="10" t="str">
        <f>IF(J_UTAMA[[#This Row],[ID NOTA]]="","",INDEX([6]!NOTA[TGL_H],MATCH(J_UTAMA[[#This Row],[ID NOTA]],[6]!NOTA[ID],0)))</f>
        <v/>
      </c>
      <c r="H21" s="10" t="str">
        <f>IF(J_UTAMA[[#This Row],[ID NOTA]]="","",INDEX([6]!NOTA[TGL.NOTA],MATCH(J_UTAMA[[#This Row],[ID NOTA]],[6]!NOTA[ID],0)))</f>
        <v/>
      </c>
      <c r="I21" s="17" t="str">
        <f>IF(J_UTAMA[[#This Row],[ID NOTA]]="","",INDEX([6]!NOTA[NO.NOTA],MATCH(J_UTAMA[[#This Row],[ID NOTA]],[6]!NOTA[ID],0)))</f>
        <v/>
      </c>
      <c r="J21" s="17" t="s">
        <v>136</v>
      </c>
      <c r="K21" s="9" t="str">
        <f ca="1">IF(J_UTAMA[[#This Row],[//]]="","",INDEX([6]!NOTA[C],J_UTAMA[[#This Row],[//]]-2))</f>
        <v/>
      </c>
      <c r="L21" s="9" t="str">
        <f ca="1">IF(J_UTAMA[[#This Row],[//]]="","",INDEX([6]!NOTA[QTY],J_UTAMA[[#This Row],[//]]-2))</f>
        <v/>
      </c>
      <c r="M21" s="9" t="str">
        <f ca="1">IF(J_UTAMA[[#This Row],[//]]="","",INDEX([6]!NOTA[STN],J_UTAMA[[#This Row],[//]]-2))</f>
        <v/>
      </c>
      <c r="N21" s="11" t="str">
        <f ca="1">IF(J_UTAMA[[#This Row],[//]]="","",INDEX([6]!NOTA[HARGA SATUAN],J_UTAMA[[#This Row],[//]]-2))</f>
        <v/>
      </c>
      <c r="O21" s="12" t="str">
        <f ca="1">IF(J_UTAMA[[#This Row],[//]]="","",IF(INDEX([6]!NOTA[DISC 1],J_UTAMA[[#This Row],[//]]-2)="","",INDEX([6]!NOTA[DISC 1],J_UTAMA[[#This Row],[//]]-2)))</f>
        <v/>
      </c>
      <c r="P21" s="12" t="str">
        <f ca="1">IF(J_UTAMA[[#This Row],[//]]="","",IF(INDEX([6]!NOTA[DISC 2],J_UTAMA[[#This Row],[//]]-2)="","",INDEX([6]!NOTA[DISC 2],J_UTAMA[[#This Row],[//]]-2)))</f>
        <v/>
      </c>
      <c r="Q21" s="11" t="str">
        <f ca="1">IF(J_UTAMA[[#This Row],[//]]="","",INDEX([6]!NOTA[JUMLAH],J_UTAMA[[#This Row],[//]]-2)*(100%-IF(ISNUMBER(J_UTAMA[[#This Row],[DISC 1 (%)]]),J_UTAMA[[#This Row],[DISC 1 (%)]],0)))</f>
        <v/>
      </c>
      <c r="R21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1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1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17" t="str">
        <f ca="1">IF(J_UTAMA[[#This Row],[//]]="","",INDEX([6]!NOTA[NAMA BARANG],J_UTAMA[[#This Row],[//]]-2))</f>
        <v/>
      </c>
      <c r="V21" s="17" t="str">
        <f ca="1">LOWER(SUBSTITUTE(SUBSTITUTE(SUBSTITUTE(SUBSTITUTE(SUBSTITUTE(SUBSTITUTE(SUBSTITUTE(J_UTAMA[[#This Row],[N.B.nota]]," ",""),"-",""),"(",""),")",""),".",""),",",""),"/",""))</f>
        <v/>
      </c>
      <c r="W21" s="9" t="s">
        <v>136</v>
      </c>
      <c r="X21" s="9" t="str">
        <f ca="1">IF(J_UTAMA[[#This Row],[N.B.nota]]="","",ADDRESS(ROW(J_UTAMA[QB]),COLUMN(J_UTAMA[QB]))&amp;":"&amp;ADDRESS(ROW(),COLUMN(J_UTAMA[QB])))</f>
        <v/>
      </c>
      <c r="Y21" s="9" t="str">
        <f ca="1">IF(J_UTAMA[[#This Row],[//]]="","",HYPERLINK("[..\\DB.xlsx]DB!e"&amp;MATCH(J_UTAMA[[#This Row],[concat]],[4]!db[NB NOTA_C],0)+1,"&gt;"))</f>
        <v/>
      </c>
    </row>
    <row r="22" spans="1:25" ht="15" customHeight="1" x14ac:dyDescent="0.25">
      <c r="A22" s="9"/>
      <c r="B22" s="9" t="str">
        <f>IF(J_UTAMA[[#This Row],[N_ID]]="","",INDEX(Table1[ID],MATCH(J_UTAMA[[#This Row],[N_ID]],Table1[N_ID],0)))</f>
        <v/>
      </c>
      <c r="C22" s="9" t="str">
        <f>IF(J_UTAMA[[#This Row],[ID NOTA]]="","",HYPERLINK("[NOTA_.xlsx]NOTA!e"&amp;INDEX([6]!PAJAK[//],MATCH(J_UTAMA[[#This Row],[ID NOTA]],[6]!PAJAK[ID],0)),"&gt;") )</f>
        <v/>
      </c>
      <c r="D22" s="9" t="str">
        <f>IF(J_UTAMA[[#This Row],[ID NOTA]]="","",INDEX(Table1[QB],MATCH(J_UTAMA[[#This Row],[ID NOTA]],Table1[ID],0)))</f>
        <v/>
      </c>
      <c r="E22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2" s="9" t="str">
        <f>IF(J_UTAMA[[#This Row],[NO. NOTA]]="","",INDEX('[5]99'!$A:$A,MATCH(J_UTAMA[[#This Row],[NO. NOTA]],'[5]99'!$D:$D,0)))</f>
        <v/>
      </c>
      <c r="G22" s="10" t="str">
        <f>IF(J_UTAMA[[#This Row],[ID NOTA]]="","",INDEX([6]!NOTA[TGL_H],MATCH(J_UTAMA[[#This Row],[ID NOTA]],[6]!NOTA[ID],0)))</f>
        <v/>
      </c>
      <c r="H22" s="10" t="str">
        <f>IF(J_UTAMA[[#This Row],[ID NOTA]]="","",INDEX([6]!NOTA[TGL.NOTA],MATCH(J_UTAMA[[#This Row],[ID NOTA]],[6]!NOTA[ID],0)))</f>
        <v/>
      </c>
      <c r="I22" s="17" t="str">
        <f>IF(J_UTAMA[[#This Row],[ID NOTA]]="","",INDEX([6]!NOTA[NO.NOTA],MATCH(J_UTAMA[[#This Row],[ID NOTA]],[6]!NOTA[ID],0)))</f>
        <v/>
      </c>
      <c r="J22" s="17" t="s">
        <v>136</v>
      </c>
      <c r="K22" s="9" t="str">
        <f ca="1">IF(J_UTAMA[[#This Row],[//]]="","",INDEX([6]!NOTA[C],J_UTAMA[[#This Row],[//]]-2))</f>
        <v/>
      </c>
      <c r="L22" s="9" t="str">
        <f ca="1">IF(J_UTAMA[[#This Row],[//]]="","",INDEX([6]!NOTA[QTY],J_UTAMA[[#This Row],[//]]-2))</f>
        <v/>
      </c>
      <c r="M22" s="9" t="str">
        <f ca="1">IF(J_UTAMA[[#This Row],[//]]="","",INDEX([6]!NOTA[STN],J_UTAMA[[#This Row],[//]]-2))</f>
        <v/>
      </c>
      <c r="N22" s="11" t="str">
        <f ca="1">IF(J_UTAMA[[#This Row],[//]]="","",INDEX([6]!NOTA[HARGA SATUAN],J_UTAMA[[#This Row],[//]]-2))</f>
        <v/>
      </c>
      <c r="O22" s="12" t="str">
        <f ca="1">IF(J_UTAMA[[#This Row],[//]]="","",IF(INDEX([6]!NOTA[DISC 1],J_UTAMA[[#This Row],[//]]-2)="","",INDEX([6]!NOTA[DISC 1],J_UTAMA[[#This Row],[//]]-2)))</f>
        <v/>
      </c>
      <c r="P22" s="12" t="str">
        <f ca="1">IF(J_UTAMA[[#This Row],[//]]="","",IF(INDEX([6]!NOTA[DISC 2],J_UTAMA[[#This Row],[//]]-2)="","",INDEX([6]!NOTA[DISC 2],J_UTAMA[[#This Row],[//]]-2)))</f>
        <v/>
      </c>
      <c r="Q22" s="11" t="str">
        <f ca="1">IF(J_UTAMA[[#This Row],[//]]="","",INDEX([6]!NOTA[JUMLAH],J_UTAMA[[#This Row],[//]]-2)*(100%-IF(ISNUMBER(J_UTAMA[[#This Row],[DISC 1 (%)]]),J_UTAMA[[#This Row],[DISC 1 (%)]],0)))</f>
        <v/>
      </c>
      <c r="R2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2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9" t="str">
        <f ca="1">IF(J_UTAMA[[#This Row],[//]]="","",INDEX([6]!NOTA[NAMA BARANG],J_UTAMA[[#This Row],[//]]-2))</f>
        <v/>
      </c>
      <c r="V22" s="9" t="str">
        <f ca="1">LOWER(SUBSTITUTE(SUBSTITUTE(SUBSTITUTE(SUBSTITUTE(SUBSTITUTE(SUBSTITUTE(SUBSTITUTE(J_UTAMA[[#This Row],[N.B.nota]]," ",""),"-",""),"(",""),")",""),".",""),",",""),"/",""))</f>
        <v/>
      </c>
      <c r="W22" s="9" t="s">
        <v>136</v>
      </c>
      <c r="X22" s="9" t="str">
        <f ca="1">IF(J_UTAMA[[#This Row],[N.B.nota]]="","",ADDRESS(ROW(J_UTAMA[QB]),COLUMN(J_UTAMA[QB]))&amp;":"&amp;ADDRESS(ROW(),COLUMN(J_UTAMA[QB])))</f>
        <v/>
      </c>
      <c r="Y22" s="9" t="str">
        <f ca="1">IF(J_UTAMA[[#This Row],[//]]="","",HYPERLINK("[..\\DB.xlsx]DB!e"&amp;MATCH(J_UTAMA[[#This Row],[concat]],[4]!db[NB NOTA_C],0)+1,"&gt;"))</f>
        <v/>
      </c>
    </row>
    <row r="23" spans="1:25" ht="15" customHeight="1" x14ac:dyDescent="0.25">
      <c r="B23" s="23" t="str">
        <f>IF(J_UTAMA[[#This Row],[N_ID]]="","",INDEX(Table1[ID],MATCH(J_UTAMA[[#This Row],[N_ID]],Table1[N_ID],0)))</f>
        <v/>
      </c>
      <c r="C23" s="23" t="str">
        <f>IF(J_UTAMA[[#This Row],[ID NOTA]]="","",HYPERLINK("[NOTA_.xlsx]NOTA!e"&amp;INDEX([6]!PAJAK[//],MATCH(J_UTAMA[[#This Row],[ID NOTA]],[6]!PAJAK[ID],0)),"&gt;") )</f>
        <v/>
      </c>
      <c r="D23" s="23" t="str">
        <f>IF(J_UTAMA[[#This Row],[ID NOTA]]="","",INDEX(Table1[QB],MATCH(J_UTAMA[[#This Row],[ID NOTA]],Table1[ID],0)))</f>
        <v/>
      </c>
      <c r="E23" s="23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3" s="23" t="str">
        <f>IF(J_UTAMA[[#This Row],[NO. NOTA]]="","",INDEX('[5]99'!$A:$A,MATCH(J_UTAMA[[#This Row],[NO. NOTA]],'[5]99'!$D:$D,0)))</f>
        <v/>
      </c>
      <c r="G23" s="10" t="str">
        <f>IF(J_UTAMA[[#This Row],[ID NOTA]]="","",INDEX([6]!NOTA[TGL_H],MATCH(J_UTAMA[[#This Row],[ID NOTA]],[6]!NOTA[ID],0)))</f>
        <v/>
      </c>
      <c r="H23" s="10" t="str">
        <f>IF(J_UTAMA[[#This Row],[ID NOTA]]="","",INDEX([6]!NOTA[TGL.NOTA],MATCH(J_UTAMA[[#This Row],[ID NOTA]],[6]!NOTA[ID],0)))</f>
        <v/>
      </c>
      <c r="I23" s="24" t="str">
        <f>IF(J_UTAMA[[#This Row],[ID NOTA]]="","",INDEX([6]!NOTA[NO.NOTA],MATCH(J_UTAMA[[#This Row],[ID NOTA]],[6]!NOTA[ID],0)))</f>
        <v/>
      </c>
      <c r="J23" s="27" t="s">
        <v>136</v>
      </c>
      <c r="K23" s="9" t="str">
        <f ca="1">IF(J_UTAMA[[#This Row],[//]]="","",INDEX([6]!NOTA[C],J_UTAMA[[#This Row],[//]]-2))</f>
        <v/>
      </c>
      <c r="L23" s="23" t="str">
        <f ca="1">IF(J_UTAMA[[#This Row],[//]]="","",INDEX([6]!NOTA[QTY],J_UTAMA[[#This Row],[//]]-2))</f>
        <v/>
      </c>
      <c r="M23" s="23" t="str">
        <f ca="1">IF(J_UTAMA[[#This Row],[//]]="","",INDEX([6]!NOTA[STN],J_UTAMA[[#This Row],[//]]-2))</f>
        <v/>
      </c>
      <c r="N23" s="28" t="str">
        <f ca="1">IF(J_UTAMA[[#This Row],[//]]="","",INDEX([6]!NOTA[HARGA SATUAN],J_UTAMA[[#This Row],[//]]-2))</f>
        <v/>
      </c>
      <c r="O23" s="29" t="str">
        <f ca="1">IF(J_UTAMA[[#This Row],[//]]="","",IF(INDEX([6]!NOTA[DISC 1],J_UTAMA[[#This Row],[//]]-2)="","",INDEX([6]!NOTA[DISC 1],J_UTAMA[[#This Row],[//]]-2)))</f>
        <v/>
      </c>
      <c r="P23" s="29" t="str">
        <f ca="1">IF(J_UTAMA[[#This Row],[//]]="","",IF(INDEX([6]!NOTA[DISC 2],J_UTAMA[[#This Row],[//]]-2)="","",INDEX([6]!NOTA[DISC 2],J_UTAMA[[#This Row],[//]]-2)))</f>
        <v/>
      </c>
      <c r="Q23" s="11" t="str">
        <f ca="1">IF(J_UTAMA[[#This Row],[//]]="","",INDEX([6]!NOTA[JUMLAH],J_UTAMA[[#This Row],[//]]-2)*(100%-IF(ISNUMBER(J_UTAMA[[#This Row],[DISC 1 (%)]]),J_UTAMA[[#This Row],[DISC 1 (%)]],0)))</f>
        <v/>
      </c>
      <c r="R23" s="30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3" s="2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3" s="31" t="str">
        <f ca="1">IF(J_UTAMA[[#This Row],[//]]="","",INDEX([6]!NOTA[NAMA BARANG],J_UTAMA[[#This Row],[//]]-2))</f>
        <v/>
      </c>
      <c r="V23" s="31" t="str">
        <f ca="1">LOWER(SUBSTITUTE(SUBSTITUTE(SUBSTITUTE(SUBSTITUTE(SUBSTITUTE(SUBSTITUTE(SUBSTITUTE(J_UTAMA[[#This Row],[N.B.nota]]," ",""),"-",""),"(",""),")",""),".",""),",",""),"/",""))</f>
        <v/>
      </c>
      <c r="W23" s="31" t="s">
        <v>136</v>
      </c>
      <c r="X23" s="31" t="str">
        <f ca="1">IF(J_UTAMA[[#This Row],[N.B.nota]]="","",ADDRESS(ROW(J_UTAMA[QB]),COLUMN(J_UTAMA[QB]))&amp;":"&amp;ADDRESS(ROW(),COLUMN(J_UTAMA[QB])))</f>
        <v/>
      </c>
      <c r="Y23" s="31" t="str">
        <f ca="1">IF(J_UTAMA[[#This Row],[//]]="","",HYPERLINK("[..\\DB.xlsx]DB!e"&amp;MATCH(J_UTAMA[[#This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J18" sqref="J18"/>
    </sheetView>
  </sheetViews>
  <sheetFormatPr defaultRowHeight="15" x14ac:dyDescent="0.25"/>
  <cols>
    <col min="1" max="1" width="13.855468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customWidth="1"/>
    <col min="9" max="9" width="8.28515625" customWidth="1"/>
    <col min="10" max="10" width="30.42578125" customWidth="1"/>
    <col min="11" max="11" width="2" customWidth="1"/>
    <col min="12" max="12" width="4" customWidth="1"/>
    <col min="13" max="13" width="4.2851562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1.7109375" customWidth="1"/>
    <col min="20" max="20" width="15.28515625" customWidth="1"/>
    <col min="21" max="21" width="22.28515625" customWidth="1"/>
    <col min="22" max="22" width="15.7109375" customWidth="1"/>
    <col min="23" max="23" width="4.140625" customWidth="1"/>
    <col min="24" max="24" width="10.140625" bestFit="1" customWidth="1"/>
    <col min="25" max="25" width="2" customWidth="1"/>
  </cols>
  <sheetData>
    <row r="1" spans="1:25" x14ac:dyDescent="0.25">
      <c r="A1" s="25"/>
      <c r="B1" s="25"/>
      <c r="C1" s="32"/>
      <c r="D1" s="25"/>
      <c r="E1" s="25"/>
      <c r="F1" s="25"/>
      <c r="G1" s="25"/>
      <c r="H1" s="25"/>
      <c r="I1" s="25"/>
      <c r="J1" s="25"/>
      <c r="K1" s="25"/>
      <c r="L1" s="32"/>
      <c r="M1" s="32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34" customFormat="1" ht="42" customHeight="1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14" t="s">
        <v>97</v>
      </c>
      <c r="B3" s="32">
        <f ca="1">IF(SAJ[[#This Row],[N_ID]]="","",INDEX(Table1[ID],MATCH(SAJ[[#This Row],[N_ID]],Table1[N_ID],0)))</f>
        <v>136</v>
      </c>
      <c r="C3" s="32" t="str">
        <f ca="1">IF(SAJ[[#This Row],[ID NOTA]]="","",HYPERLINK("[NOTA_.xlsx]NOTA!e"&amp;INDEX([6]!PAJAK[//],MATCH(SAJ[[#This Row],[ID NOTA]],[6]!PAJAK[ID],0)),"&gt;") )</f>
        <v>&gt;</v>
      </c>
      <c r="D3" s="32">
        <f ca="1">IF(SAJ[[#This Row],[ID NOTA]]="","",INDEX(Table1[QB],MATCH(SAJ[[#This Row],[ID NOTA]],Table1[ID],0)))</f>
        <v>1</v>
      </c>
      <c r="E3" s="32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680</v>
      </c>
      <c r="F3" s="32">
        <f ca="1">IF(SAJ[[#This Row],[NO. NOTA]]="","",INDEX([5]SAJ!$A:$A,MATCH(SAJ[[#This Row],[NO. NOTA]],[5]SAJ!$D:$D,0)))</f>
        <v>1</v>
      </c>
      <c r="G3" s="35">
        <f ca="1">IF(SAJ[[#This Row],[ID NOTA]]="","",INDEX([6]!NOTA[TGL_H],MATCH(SAJ[[#This Row],[ID NOTA]],[6]!NOTA[ID],0)))</f>
        <v>44767</v>
      </c>
      <c r="H3" s="35">
        <f ca="1">IF(SAJ[[#This Row],[ID NOTA]]="","",INDEX([6]!NOTA[TGL.NOTA],MATCH(SAJ[[#This Row],[ID NOTA]],[6]!NOTA[ID],0)))</f>
        <v>44764</v>
      </c>
      <c r="I3" s="26" t="str">
        <f ca="1">IF(SAJ[[#This Row],[ID NOTA]]="","",INDEX([6]!NOTA[NO.NOTA],MATCH(SAJ[[#This Row],[ID NOTA]],[6]!NOTA[ID],0)))</f>
        <v>JL-58302</v>
      </c>
      <c r="J3" s="26" t="s">
        <v>138</v>
      </c>
      <c r="K3" s="32">
        <f ca="1">IF(SAJ[[#This Row],[//]]="","",INDEX([6]!NOTA[C],SAJ[[#This Row],[//]]-2))</f>
        <v>4</v>
      </c>
      <c r="L3" s="32">
        <f ca="1">IF(SAJ[//]="","",INDEX([6]!NOTA[QTY],SAJ[//]-2))</f>
        <v>400</v>
      </c>
      <c r="M3" s="32" t="str">
        <f ca="1">IF(SAJ[//]="","",INDEX([6]!NOTA[STN],SAJ[//]-2))</f>
        <v>PCS</v>
      </c>
      <c r="N3" s="37">
        <f ca="1">IF(SAJ[[#This Row],[//]]="","",IF(INDEX([6]!NOTA[HARGA/ CTN],SAJ[[#This Row],[//]]-2)="",INDEX([6]!NOTA[HARGA SATUAN],SAJ[//]-2),INDEX([6]!NOTA[HARGA/ CTN],SAJ[[#This Row],[//]]-2)))</f>
        <v>13500</v>
      </c>
      <c r="O3" s="38">
        <f ca="1">IF(SAJ[[#This Row],[//]]="","",IF(INDEX([6]!NOTA[DISC 1],SAJ[[#This Row],[//]]-2)="","",INDEX([6]!NOTA[DISC 1],SAJ[[#This Row],[//]]-2)))</f>
        <v>0.05</v>
      </c>
      <c r="P3" s="38" t="str">
        <f ca="1">IF(SAJ[[#This Row],[//]]="","",IF(INDEX([6]!NOTA[DISC 2],SAJ[[#This Row],[//]]-2)="","",INDEX([6]!NOTA[DISC 2],SAJ[[#This Row],[//]]-2)))</f>
        <v/>
      </c>
      <c r="Q3" s="30">
        <f ca="1">IF(SAJ[[#This Row],[//]]="","",INDEX([6]!NOTA[JUMLAH],SAJ[[#This Row],[//]]-2)*(100%-IF(ISNUMBER(SAJ[[#This Row],[DISC 1 (%)]]),SAJ[[#This Row],[DISC 1 (%)]],0)))</f>
        <v>5130000</v>
      </c>
      <c r="R3" s="37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270000</v>
      </c>
      <c r="S3" s="37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5130000</v>
      </c>
      <c r="T3" s="30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6" t="str">
        <f ca="1">IF(SAJ[[#This Row],[//]]="","",INDEX([6]!NOTA[NAMA BARANG],SAJ[[#This Row],[//]]-2))</f>
        <v>P/C KRT KK-2C 8D S 2 BD</v>
      </c>
      <c r="V3" s="26" t="str">
        <f ca="1">LOWER(SUBSTITUTE(SUBSTITUTE(SUBSTITUTE(SUBSTITUTE(SUBSTITUTE(SUBSTITUTE(SUBSTITUTE(SUBSTITUTE(SAJ[[#This Row],[N.B.nota]]," ",""),"-",""),"(",""),")",""),".",""),",",""),"/",""),"""",""))</f>
        <v>pckrtkk2c8ds2bd</v>
      </c>
      <c r="W3" s="26" t="s">
        <v>137</v>
      </c>
      <c r="X3" s="26" t="str">
        <f ca="1">IF(SAJ[[#This Row],[N.B.nota]]="","",ADDRESS(ROW(SAJ[QB]),COLUMN(SAJ[QB]))&amp;":"&amp;ADDRESS(ROW(),COLUMN(SAJ[QB])))</f>
        <v>$D$3:$D$3</v>
      </c>
      <c r="Y3" s="26" t="str">
        <f ca="1">IF(SAJ[[#This Row],[//]]="","",HYPERLINK("[..\\DB.xlsx]DB!e"&amp;MATCH(SAJ[[#This Row],[concat]],[4]!db[NB NOTA_C],0)+1,"&gt;"))</f>
        <v>&gt;</v>
      </c>
    </row>
    <row r="4" spans="1:25" x14ac:dyDescent="0.25">
      <c r="A4" s="32"/>
      <c r="B4" s="32"/>
      <c r="C4" s="32"/>
      <c r="D4" s="32"/>
      <c r="E4" s="32"/>
      <c r="F4" s="32"/>
      <c r="G4" s="35"/>
      <c r="H4" s="35"/>
      <c r="I4" s="26"/>
      <c r="J4" s="32"/>
      <c r="K4" s="32"/>
      <c r="L4" s="32"/>
      <c r="M4" s="32"/>
      <c r="N4" s="30"/>
      <c r="O4" s="36"/>
      <c r="P4" s="36"/>
      <c r="Q4" s="30"/>
      <c r="R4" s="30"/>
      <c r="S4" s="30"/>
      <c r="T4" s="30"/>
      <c r="U4" s="32"/>
      <c r="V4" s="32"/>
      <c r="W4" s="32"/>
      <c r="X4" s="32"/>
      <c r="Y4" s="32"/>
    </row>
    <row r="5" spans="1:25" x14ac:dyDescent="0.25">
      <c r="A5" s="31"/>
      <c r="B5" s="32"/>
      <c r="C5" s="32"/>
      <c r="D5" s="32"/>
      <c r="E5" s="32"/>
      <c r="F5" s="32"/>
      <c r="G5" s="39"/>
      <c r="H5" s="39"/>
      <c r="I5" s="26"/>
      <c r="J5" s="25"/>
      <c r="K5" s="32"/>
      <c r="L5" s="32"/>
      <c r="M5" s="32"/>
      <c r="N5" s="28"/>
      <c r="O5" s="29"/>
      <c r="P5" s="29"/>
      <c r="Q5" s="28"/>
      <c r="R5" s="28"/>
      <c r="S5" s="28"/>
      <c r="T5" s="40"/>
      <c r="U5" s="25"/>
      <c r="V5" s="25"/>
      <c r="W5" s="25"/>
      <c r="X5" s="25"/>
      <c r="Y5" s="14"/>
    </row>
  </sheetData>
  <conditionalFormatting sqref="A3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workbookViewId="0">
      <selection activeCell="A3" sqref="A3:XFD4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2" t="s">
        <v>100</v>
      </c>
      <c r="B3" s="32">
        <f ca="1">IF(MGN[[#This Row],[N_ID]]="","",INDEX(Table1[ID],MATCH(MGN[[#This Row],[N_ID]],Table1[N_ID],0)))</f>
        <v>93</v>
      </c>
      <c r="C3" s="32" t="str">
        <f ca="1">IF(MGN[[#This Row],[ID NOTA]]="","",HYPERLINK("[NOTA_.xlsx]NOTA!e"&amp;INDEX([6]!PAJAK[//],MATCH(MGN[[#This Row],[ID NOTA]],[6]!PAJAK[ID],0)),"&gt;") )</f>
        <v>&gt;</v>
      </c>
      <c r="D3" s="32">
        <f ca="1">IF(MGN[[#This Row],[ID NOTA]]="","",INDEX(Table1[QB],MATCH(MGN[[#This Row],[ID NOTA]],Table1[ID],0)))</f>
        <v>1</v>
      </c>
      <c r="E3" s="32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472</v>
      </c>
      <c r="F3" s="32">
        <f ca="1">IF(MGN[[#This Row],[NO. NOTA]]="","",INDEX([5]MGN!$A:$A,MATCH(MGN[[#This Row],[NO. NOTA]],[5]MGN!$D:$D,0)))</f>
        <v>1</v>
      </c>
      <c r="G3" s="35">
        <f ca="1">IF(MGN[[#This Row],[ID NOTA]]="","",INDEX([6]!NOTA[TGL_H],MATCH(MGN[[#This Row],[ID NOTA]],[6]!NOTA[ID],0)))</f>
        <v>44758</v>
      </c>
      <c r="H3" s="35">
        <f ca="1">IF(MGN[[#This Row],[ID NOTA]]="","",INDEX([6]!NOTA[TGL.NOTA],MATCH(MGN[[#This Row],[ID NOTA]],[6]!NOTA[ID],0)))</f>
        <v>44756</v>
      </c>
      <c r="I3" s="26" t="str">
        <f ca="1">IF(MGN[[#This Row],[ID NOTA]]="","",INDEX([6]!NOTA[NO.NOTA],MATCH(MGN[[#This Row],[ID NOTA]],[6]!NOTA[ID],0)))</f>
        <v>L207018</v>
      </c>
      <c r="J3" s="26" t="s">
        <v>135</v>
      </c>
      <c r="K3" s="32">
        <f ca="1">IF(MGN[[#This Row],[//]]="","",INDEX([6]!NOTA[C],MGN[[#This Row],[//]]-2))</f>
        <v>5</v>
      </c>
      <c r="L3" s="32">
        <f ca="1">IF(MGN[//]="","",INDEX([6]!NOTA[QTY],MGN[//]-2))</f>
        <v>250</v>
      </c>
      <c r="M3" s="32" t="str">
        <f ca="1">IF(MGN[//]="","",INDEX([6]!NOTA[STN],MGN[//]-2))</f>
        <v>PAK</v>
      </c>
      <c r="N3" s="37">
        <f ca="1">IF(MGN[[#This Row],[//]]="","",IF(INDEX([6]!NOTA[HARGA/ CTN],MGN[[#This Row],[//]]-2)="",INDEX([6]!NOTA[HARGA SATUAN],MGN[//]-2),INDEX([6]!NOTA[HARGA/ CTN],MGN[[#This Row],[//]]-2)))</f>
        <v>24000</v>
      </c>
      <c r="O3" s="38" t="str">
        <f ca="1">IF(MGN[[#This Row],[//]]="","",IF(INDEX([6]!NOTA[DISC 1],MGN[[#This Row],[//]]-2)="","",INDEX([6]!NOTA[DISC 1],MGN[[#This Row],[//]]-2)))</f>
        <v/>
      </c>
      <c r="P3" s="38" t="str">
        <f ca="1">IF(MGN[[#This Row],[//]]="","",IF(INDEX([6]!NOTA[DISC 2],MGN[[#This Row],[//]]-2)="","",INDEX([6]!NOTA[DISC 2],MGN[[#This Row],[//]]-2)))</f>
        <v/>
      </c>
      <c r="Q3" s="30">
        <f ca="1">IF(MGN[[#This Row],[//]]="","",INDEX([6]!NOTA[JUMLAH],MGN[[#This Row],[//]]-2)*(100%-IF(ISNUMBER(MGN[[#This Row],[DISC 1 (%)]]),MGN[[#This Row],[DISC 1 (%)]],0)))</f>
        <v>6000000</v>
      </c>
      <c r="R3" s="37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0</v>
      </c>
      <c r="S3" s="37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6000000</v>
      </c>
      <c r="T3" s="30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6" t="str">
        <f ca="1">IF(MGN[[#This Row],[//]]="","",INDEX([6]!NOTA[NAMA BARANG],MGN[[#This Row],[//]]-2))</f>
        <v>ISI GW NO.369</v>
      </c>
      <c r="V3" s="26" t="str">
        <f ca="1">LOWER(SUBSTITUTE(SUBSTITUTE(SUBSTITUTE(SUBSTITUTE(SUBSTITUTE(SUBSTITUTE(SUBSTITUTE(SUBSTITUTE(MGN[[#This Row],[N.B.nota]]," ",""),"-",""),"(",""),")",""),".",""),",",""),"/",""),"""",""))</f>
        <v>isigwno369</v>
      </c>
      <c r="W3" s="26" t="s">
        <v>137</v>
      </c>
      <c r="X3" s="26" t="str">
        <f ca="1">IF(MGN[[#This Row],[N.B.nota]]="","",ADDRESS(ROW(MGN[QB]),COLUMN(MGN[QB]))&amp;":"&amp;ADDRESS(ROW(),COLUMN(MGN[QB])))</f>
        <v>$D$3:$D$3</v>
      </c>
      <c r="Y3" s="26" t="str">
        <f ca="1">IF(MGN[[#This Row],[//]]="","",HYPERLINK("[..\\DB.xlsx]DB!e"&amp;MATCH(MGN[[#This Row],[concat]],[4]!db[NB NOTA_C],0)+1,"&gt;"))</f>
        <v>&gt;</v>
      </c>
    </row>
    <row r="4" spans="1:25" x14ac:dyDescent="0.25">
      <c r="A4" s="41"/>
      <c r="B4" s="32" t="str">
        <f>IF(MGN[[#This Row],[N_ID]]="","",INDEX(Table1[ID],MATCH(MGN[[#This Row],[N_ID]],Table1[N_ID],0)))</f>
        <v/>
      </c>
      <c r="C4" s="32" t="str">
        <f>IF(MGN[[#This Row],[ID NOTA]]="","",HYPERLINK("[NOTA_.xlsx]NOTA!e"&amp;INDEX([6]!PAJAK[//],MATCH(MGN[[#This Row],[ID NOTA]],[6]!PAJAK[ID],0)),"&gt;") )</f>
        <v/>
      </c>
      <c r="D4" s="32" t="str">
        <f>IF(MGN[[#This Row],[ID NOTA]]="","",INDEX(Table1[QB],MATCH(MGN[[#This Row],[ID NOTA]],Table1[ID],0)))</f>
        <v/>
      </c>
      <c r="E4" s="32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/>
      </c>
      <c r="F4" s="32" t="str">
        <f>IF(MGN[[#This Row],[NO. NOTA]]="","",INDEX([5]MGN!$A:$A,MATCH(MGN[[#This Row],[NO. NOTA]],[5]MGN!$D:$D,0)))</f>
        <v/>
      </c>
      <c r="G4" s="35" t="str">
        <f>IF(MGN[[#This Row],[ID NOTA]]="","",INDEX([6]!NOTA[TGL_H],MATCH(MGN[[#This Row],[ID NOTA]],[6]!NOTA[ID],0)))</f>
        <v/>
      </c>
      <c r="H4" s="35" t="str">
        <f>IF(MGN[[#This Row],[ID NOTA]]="","",INDEX([6]!NOTA[TGL.NOTA],MATCH(MGN[[#This Row],[ID NOTA]],[6]!NOTA[ID],0)))</f>
        <v/>
      </c>
      <c r="I4" s="26" t="str">
        <f>IF(MGN[[#This Row],[ID NOTA]]="","",INDEX([6]!NOTA[NO.NOTA],MATCH(MGN[[#This Row],[ID NOTA]],[6]!NOTA[ID],0)))</f>
        <v/>
      </c>
      <c r="J4" s="26" t="s">
        <v>136</v>
      </c>
      <c r="K4" s="32" t="str">
        <f ca="1">IF(MGN[[#This Row],[//]]="","",INDEX([6]!NOTA[C],MGN[[#This Row],[//]]-2))</f>
        <v/>
      </c>
      <c r="L4" s="32" t="str">
        <f ca="1">IF(MGN[//]="","",INDEX([6]!NOTA[QTY],MGN[//]-2))</f>
        <v/>
      </c>
      <c r="M4" s="32" t="str">
        <f ca="1">IF(MGN[//]="","",INDEX([6]!NOTA[STN],MGN[//]-2))</f>
        <v/>
      </c>
      <c r="N4" s="37" t="str">
        <f ca="1">IF(MGN[[#This Row],[//]]="","",IF(INDEX([6]!NOTA[HARGA/ CTN],MGN[[#This Row],[//]]-2)="",INDEX([6]!NOTA[HARGA SATUAN],MGN[//]-2),INDEX([6]!NOTA[HARGA/ CTN],MGN[[#This Row],[//]]-2)))</f>
        <v/>
      </c>
      <c r="O4" s="38" t="str">
        <f ca="1">IF(MGN[[#This Row],[//]]="","",IF(INDEX([6]!NOTA[DISC 1],MGN[[#This Row],[//]]-2)="","",INDEX([6]!NOTA[DISC 1],MGN[[#This Row],[//]]-2)))</f>
        <v/>
      </c>
      <c r="P4" s="38" t="str">
        <f ca="1">IF(MGN[[#This Row],[//]]="","",IF(INDEX([6]!NOTA[DISC 2],MGN[[#This Row],[//]]-2)="","",INDEX([6]!NOTA[DISC 2],MGN[[#This Row],[//]]-2)))</f>
        <v/>
      </c>
      <c r="Q4" s="30" t="str">
        <f ca="1">IF(MGN[[#This Row],[//]]="","",INDEX([6]!NOTA[JUMLAH],MGN[[#This Row],[//]]-2)*(100%-IF(ISNUMBER(MGN[[#This Row],[DISC 1 (%)]]),MGN[[#This Row],[DISC 1 (%)]],0)))</f>
        <v/>
      </c>
      <c r="R4" s="37" t="str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/>
      </c>
      <c r="S4" s="37" t="str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/>
      </c>
      <c r="T4" s="30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6" t="str">
        <f ca="1">IF(MGN[[#This Row],[//]]="","",INDEX([6]!NOTA[NAMA BARANG],MGN[[#This Row],[//]]-2))</f>
        <v/>
      </c>
      <c r="V4" s="26" t="str">
        <f ca="1">LOWER(SUBSTITUTE(SUBSTITUTE(SUBSTITUTE(SUBSTITUTE(SUBSTITUTE(SUBSTITUTE(SUBSTITUTE(SUBSTITUTE(MGN[[#This Row],[N.B.nota]]," ",""),"-",""),"(",""),")",""),".",""),",",""),"/",""),"""",""))</f>
        <v/>
      </c>
      <c r="W4" s="26" t="s">
        <v>136</v>
      </c>
      <c r="X4" s="26" t="str">
        <f ca="1">IF(MGN[[#This Row],[N.B.nota]]="","",ADDRESS(ROW(MGN[QB]),COLUMN(MGN[QB]))&amp;":"&amp;ADDRESS(ROW(),COLUMN(MGN[QB])))</f>
        <v/>
      </c>
      <c r="Y4" s="26" t="str">
        <f ca="1">IF(MGN[[#This Row],[//]]="","",HYPERLINK("[..\\DB.xlsx]DB!e"&amp;MATCH(MGN[[#This Row],[concat]],[4]!db[NB NOTA_C],0)+1,"&gt;"))</f>
        <v/>
      </c>
    </row>
  </sheetData>
  <conditionalFormatting sqref="A3:A4">
    <cfRule type="duplicateValues" dxfId="27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8" sqref="A8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65</v>
      </c>
      <c r="B3" t="s">
        <v>14</v>
      </c>
    </row>
    <row r="4" spans="1:2" x14ac:dyDescent="0.25">
      <c r="A4" t="s">
        <v>66</v>
      </c>
      <c r="B4" t="s">
        <v>15</v>
      </c>
    </row>
    <row r="5" spans="1:2" x14ac:dyDescent="0.25">
      <c r="A5" t="s">
        <v>67</v>
      </c>
      <c r="B5" t="str">
        <f>"J_UTAMA"</f>
        <v>J_UTAMA</v>
      </c>
    </row>
    <row r="6" spans="1:2" x14ac:dyDescent="0.25">
      <c r="A6" t="s">
        <v>68</v>
      </c>
      <c r="B6" t="s">
        <v>69</v>
      </c>
    </row>
    <row r="7" spans="1:2" x14ac:dyDescent="0.25">
      <c r="A7" t="s">
        <v>99</v>
      </c>
      <c r="B7" t="s">
        <v>98</v>
      </c>
    </row>
    <row r="8" spans="1:2" x14ac:dyDescent="0.25">
      <c r="A8" t="s">
        <v>102</v>
      </c>
      <c r="B8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ATALI</vt:lpstr>
      <vt:lpstr>KENKO</vt:lpstr>
      <vt:lpstr>KALINDO</vt:lpstr>
      <vt:lpstr>99 JAYA UTAMA</vt:lpstr>
      <vt:lpstr>SAJ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2022-08-06T08:50:18Z</dcterms:modified>
</cp:coreProperties>
</file>