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26" i="1"/>
  <c r="AI332" i="1"/>
  <c r="AI338" i="1"/>
  <c r="AI350" i="1"/>
  <c r="AI357" i="1"/>
  <c r="AI369" i="1"/>
  <c r="AI382" i="1"/>
  <c r="AI385" i="1"/>
  <c r="AI389" i="1"/>
  <c r="AI392" i="1"/>
  <c r="AI395" i="1"/>
  <c r="AI400" i="1"/>
  <c r="AI402" i="1"/>
  <c r="AI404" i="1"/>
  <c r="AI407" i="1"/>
  <c r="AI409" i="1"/>
  <c r="AI412" i="1"/>
  <c r="AI420" i="1"/>
  <c r="AI427" i="1"/>
  <c r="AI430" i="1"/>
  <c r="AI432" i="1"/>
  <c r="AI434" i="1"/>
  <c r="AI436" i="1"/>
  <c r="AI439" i="1"/>
  <c r="AI445" i="1"/>
  <c r="AI450" i="1"/>
  <c r="AI459" i="1"/>
  <c r="AI462" i="1"/>
  <c r="AI464" i="1"/>
  <c r="AI475" i="1"/>
  <c r="AI477" i="1"/>
  <c r="AI479" i="1"/>
  <c r="AI482" i="1"/>
  <c r="AI484" i="1"/>
  <c r="AI486" i="1"/>
  <c r="AI488" i="1"/>
  <c r="AI491" i="1"/>
  <c r="AI500" i="1"/>
  <c r="AI503" i="1"/>
  <c r="AI505" i="1"/>
  <c r="AI513" i="1"/>
  <c r="AI523" i="1"/>
  <c r="AI526" i="1"/>
  <c r="AI532" i="1"/>
  <c r="AI535" i="1"/>
  <c r="AI548" i="1"/>
  <c r="AI554" i="1"/>
  <c r="AI559" i="1"/>
  <c r="AI561" i="1"/>
  <c r="AI564" i="1"/>
  <c r="AI570" i="1"/>
  <c r="AI573" i="1"/>
  <c r="AI576" i="1"/>
  <c r="AI578" i="1"/>
  <c r="AI581" i="1"/>
  <c r="AI589" i="1"/>
  <c r="AI596" i="1"/>
  <c r="AI598" i="1"/>
  <c r="AI600" i="1"/>
  <c r="AI603" i="1"/>
  <c r="AI606" i="1"/>
  <c r="AI615" i="1"/>
  <c r="AI618" i="1"/>
  <c r="AI620" i="1"/>
  <c r="AI623" i="1"/>
  <c r="M623" i="1" l="1"/>
  <c r="U587" i="1" l="1"/>
  <c r="N579" i="1" l="1"/>
  <c r="N578" i="1"/>
  <c r="N480" i="1" l="1"/>
  <c r="N479" i="1"/>
  <c r="AE389" i="1" l="1"/>
  <c r="W389" i="1" s="1"/>
  <c r="X389" i="1" l="1"/>
  <c r="Y389" i="1" s="1"/>
  <c r="Z389" i="1" s="1"/>
  <c r="AA389" i="1" s="1"/>
  <c r="AD389" i="1"/>
  <c r="B390" i="1"/>
  <c r="C390" i="1" s="1"/>
  <c r="AE390" i="1"/>
  <c r="W390" i="1" s="1"/>
  <c r="X390" i="1" l="1"/>
  <c r="Y390" i="1" s="1"/>
  <c r="Z390" i="1" s="1"/>
  <c r="AA390" i="1" s="1"/>
  <c r="AD390" i="1"/>
  <c r="B391" i="1"/>
  <c r="C391" i="1" s="1"/>
  <c r="D391" i="1"/>
  <c r="AB391" i="1" s="1"/>
  <c r="AD391" i="1"/>
  <c r="AE391" i="1"/>
  <c r="W391" i="1" s="1"/>
  <c r="AG391" i="1"/>
  <c r="AI391" i="1" s="1"/>
  <c r="AC391" i="1" l="1"/>
  <c r="AF391" i="1"/>
  <c r="X391" i="1"/>
  <c r="Z391" i="1"/>
  <c r="Y391" i="1"/>
  <c r="AA391" i="1"/>
  <c r="AE392" i="1"/>
  <c r="W392" i="1" s="1"/>
  <c r="X392" i="1" l="1"/>
  <c r="Y392" i="1" s="1"/>
  <c r="Z392" i="1" s="1"/>
  <c r="AA392" i="1" s="1"/>
  <c r="AD392" i="1"/>
  <c r="B393" i="1"/>
  <c r="C393" i="1" s="1"/>
  <c r="AE393" i="1"/>
  <c r="W393" i="1" s="1"/>
  <c r="X393" i="1" l="1"/>
  <c r="Y393" i="1"/>
  <c r="AD393" i="1"/>
  <c r="B394" i="1"/>
  <c r="C394" i="1" s="1"/>
  <c r="D394" i="1"/>
  <c r="AB394" i="1" s="1"/>
  <c r="AD394" i="1"/>
  <c r="AE394" i="1"/>
  <c r="W394" i="1" s="1"/>
  <c r="AG394" i="1"/>
  <c r="AI394" i="1" s="1"/>
  <c r="Z393" i="1" l="1"/>
  <c r="AA393" i="1" s="1"/>
  <c r="AC394" i="1"/>
  <c r="AF394" i="1"/>
  <c r="X394" i="1"/>
  <c r="Z394" i="1"/>
  <c r="Y394" i="1"/>
  <c r="AA394" i="1"/>
  <c r="AE395" i="1"/>
  <c r="W395" i="1" s="1"/>
  <c r="X395" i="1" l="1"/>
  <c r="Y395" i="1" s="1"/>
  <c r="AD395" i="1"/>
  <c r="Z395" i="1" l="1"/>
  <c r="AA395" i="1" s="1"/>
  <c r="B396" i="1"/>
  <c r="C396" i="1" s="1"/>
  <c r="AE396" i="1"/>
  <c r="W396" i="1" s="1"/>
  <c r="X396" i="1" l="1"/>
  <c r="Y396" i="1" s="1"/>
  <c r="Z396" i="1" s="1"/>
  <c r="AA396" i="1" s="1"/>
  <c r="AD396" i="1"/>
  <c r="B397" i="1"/>
  <c r="C397" i="1" s="1"/>
  <c r="AE397" i="1"/>
  <c r="W397" i="1" s="1"/>
  <c r="X397" i="1" l="1"/>
  <c r="Y397" i="1" s="1"/>
  <c r="AD397" i="1"/>
  <c r="Z397" i="1" l="1"/>
  <c r="AA397" i="1" s="1"/>
  <c r="B398" i="1"/>
  <c r="C398" i="1" s="1"/>
  <c r="AE398" i="1"/>
  <c r="W398" i="1" s="1"/>
  <c r="X398" i="1" l="1"/>
  <c r="Y398" i="1" s="1"/>
  <c r="Z398" i="1" s="1"/>
  <c r="AA398" i="1" s="1"/>
  <c r="AD398" i="1"/>
  <c r="B399" i="1"/>
  <c r="C399" i="1" s="1"/>
  <c r="D399" i="1"/>
  <c r="AB399" i="1" s="1"/>
  <c r="AD399" i="1"/>
  <c r="AE399" i="1"/>
  <c r="W399" i="1" s="1"/>
  <c r="AG399" i="1"/>
  <c r="AI399" i="1" s="1"/>
  <c r="AC399" i="1" l="1"/>
  <c r="AF399" i="1"/>
  <c r="X399" i="1"/>
  <c r="Z399" i="1"/>
  <c r="Y399" i="1"/>
  <c r="AA399" i="1"/>
  <c r="AE400" i="1"/>
  <c r="W400" i="1" s="1"/>
  <c r="X400" i="1" l="1"/>
  <c r="Y400" i="1" s="1"/>
  <c r="AD400" i="1"/>
  <c r="Z400" i="1" l="1"/>
  <c r="AA400" i="1" s="1"/>
  <c r="B401" i="1"/>
  <c r="C401" i="1" s="1"/>
  <c r="D401" i="1"/>
  <c r="AC401" i="1" s="1"/>
  <c r="AD401" i="1"/>
  <c r="AE401" i="1"/>
  <c r="W401" i="1" s="1"/>
  <c r="AG401" i="1"/>
  <c r="AI401" i="1" s="1"/>
  <c r="AF401" i="1" l="1"/>
  <c r="AB401" i="1"/>
  <c r="Y401" i="1"/>
  <c r="AA401" i="1"/>
  <c r="X401" i="1"/>
  <c r="Z401" i="1"/>
  <c r="AE402" i="1"/>
  <c r="W402" i="1" s="1"/>
  <c r="X402" i="1" l="1"/>
  <c r="Y402" i="1" s="1"/>
  <c r="AD402" i="1"/>
  <c r="Z402" i="1" l="1"/>
  <c r="AA402" i="1" s="1"/>
  <c r="B403" i="1"/>
  <c r="C403" i="1" s="1"/>
  <c r="D403" i="1"/>
  <c r="AC403" i="1" s="1"/>
  <c r="AD403" i="1"/>
  <c r="AE403" i="1"/>
  <c r="W403" i="1" s="1"/>
  <c r="AG403" i="1"/>
  <c r="AI403" i="1" s="1"/>
  <c r="AF403" i="1" l="1"/>
  <c r="AB403" i="1"/>
  <c r="Y403" i="1"/>
  <c r="AA403" i="1"/>
  <c r="X403" i="1"/>
  <c r="Z403" i="1"/>
  <c r="N404" i="1"/>
  <c r="W404" i="1"/>
  <c r="X404" i="1" s="1"/>
  <c r="Y404" i="1" s="1"/>
  <c r="Z404" i="1" s="1"/>
  <c r="AA404" i="1" s="1"/>
  <c r="AE404" i="1"/>
  <c r="AD404" i="1" s="1"/>
  <c r="B405" i="1"/>
  <c r="C405" i="1" s="1"/>
  <c r="W405" i="1"/>
  <c r="X405" i="1" s="1"/>
  <c r="Y405" i="1" s="1"/>
  <c r="Z405" i="1" l="1"/>
  <c r="AA405" i="1" s="1"/>
  <c r="AE405" i="1"/>
  <c r="AD405" i="1" s="1"/>
  <c r="B406" i="1"/>
  <c r="C406" i="1" s="1"/>
  <c r="D406" i="1"/>
  <c r="AB406" i="1" s="1"/>
  <c r="AD406" i="1"/>
  <c r="AE406" i="1"/>
  <c r="W406" i="1" s="1"/>
  <c r="AG406" i="1"/>
  <c r="AI406" i="1" s="1"/>
  <c r="AC406" i="1" l="1"/>
  <c r="AF406" i="1"/>
  <c r="X406" i="1"/>
  <c r="Z406" i="1"/>
  <c r="Y406" i="1"/>
  <c r="AA406" i="1"/>
  <c r="AE407" i="1"/>
  <c r="W407" i="1" s="1"/>
  <c r="X407" i="1" l="1"/>
  <c r="Y407" i="1" s="1"/>
  <c r="AD407" i="1"/>
  <c r="Z407" i="1" l="1"/>
  <c r="AA407" i="1" s="1"/>
  <c r="B408" i="1"/>
  <c r="C408" i="1" s="1"/>
  <c r="D408" i="1"/>
  <c r="AC408" i="1" s="1"/>
  <c r="AD408" i="1"/>
  <c r="AE408" i="1"/>
  <c r="W408" i="1" s="1"/>
  <c r="AG408" i="1"/>
  <c r="AI408" i="1" s="1"/>
  <c r="AF408" i="1" l="1"/>
  <c r="AB408" i="1"/>
  <c r="Y408" i="1"/>
  <c r="AA408" i="1"/>
  <c r="X408" i="1"/>
  <c r="Z408" i="1"/>
  <c r="AE409" i="1"/>
  <c r="W409" i="1" s="1"/>
  <c r="X409" i="1" l="1"/>
  <c r="Y409" i="1" s="1"/>
  <c r="Z409" i="1" s="1"/>
  <c r="AA409" i="1" s="1"/>
  <c r="AD409" i="1"/>
  <c r="B410" i="1"/>
  <c r="C410" i="1"/>
  <c r="AE410" i="1"/>
  <c r="W410" i="1" s="1"/>
  <c r="X410" i="1" l="1"/>
  <c r="Y410" i="1" s="1"/>
  <c r="Z410" i="1" s="1"/>
  <c r="AA410" i="1" s="1"/>
  <c r="AD410" i="1"/>
  <c r="B411" i="1"/>
  <c r="C411" i="1" s="1"/>
  <c r="D411" i="1"/>
  <c r="AB411" i="1" s="1"/>
  <c r="AD411" i="1"/>
  <c r="AE411" i="1"/>
  <c r="W411" i="1" s="1"/>
  <c r="AG411" i="1"/>
  <c r="AI411" i="1" s="1"/>
  <c r="AC411" i="1" l="1"/>
  <c r="AF411" i="1"/>
  <c r="X411" i="1"/>
  <c r="Z411" i="1"/>
  <c r="Y411" i="1"/>
  <c r="AA411" i="1"/>
  <c r="W412" i="1"/>
  <c r="X412" i="1"/>
  <c r="Y412" i="1" s="1"/>
  <c r="Z412" i="1" l="1"/>
  <c r="AA412" i="1" s="1"/>
  <c r="AE412" i="1"/>
  <c r="AD412" i="1" s="1"/>
  <c r="B413" i="1"/>
  <c r="C413" i="1" s="1"/>
  <c r="W413" i="1"/>
  <c r="X413" i="1" s="1"/>
  <c r="Y413" i="1" s="1"/>
  <c r="Z413" i="1" l="1"/>
  <c r="AA413" i="1" s="1"/>
  <c r="AE413" i="1"/>
  <c r="AD413" i="1" s="1"/>
  <c r="B414" i="1"/>
  <c r="C414" i="1" s="1"/>
  <c r="W414" i="1"/>
  <c r="X414" i="1" s="1"/>
  <c r="Y414" i="1" s="1"/>
  <c r="Z414" i="1" l="1"/>
  <c r="AA414" i="1" s="1"/>
  <c r="AE414" i="1"/>
  <c r="AD414" i="1" s="1"/>
  <c r="B415" i="1"/>
  <c r="C415" i="1" s="1"/>
  <c r="W415" i="1"/>
  <c r="X415" i="1" s="1"/>
  <c r="Y415" i="1" s="1"/>
  <c r="Z415" i="1" l="1"/>
  <c r="AA415" i="1" s="1"/>
  <c r="AE415" i="1"/>
  <c r="AD415" i="1" s="1"/>
  <c r="B416" i="1"/>
  <c r="C416" i="1" s="1"/>
  <c r="W416" i="1"/>
  <c r="X416" i="1" s="1"/>
  <c r="Y416" i="1" s="1"/>
  <c r="Z416" i="1" s="1"/>
  <c r="AA416" i="1" s="1"/>
  <c r="AE416" i="1"/>
  <c r="AD416" i="1" s="1"/>
  <c r="B417" i="1"/>
  <c r="C417" i="1" s="1"/>
  <c r="W417" i="1"/>
  <c r="X417" i="1" s="1"/>
  <c r="Y417" i="1" s="1"/>
  <c r="Z417" i="1" s="1"/>
  <c r="AA417" i="1" s="1"/>
  <c r="AE417" i="1"/>
  <c r="AD417" i="1" s="1"/>
  <c r="B418" i="1"/>
  <c r="C418" i="1" s="1"/>
  <c r="W418" i="1"/>
  <c r="X418" i="1" s="1"/>
  <c r="Y418" i="1" s="1"/>
  <c r="Z418" i="1" l="1"/>
  <c r="AA418" i="1" s="1"/>
  <c r="AE418" i="1"/>
  <c r="AD418" i="1" s="1"/>
  <c r="B419" i="1"/>
  <c r="C419" i="1"/>
  <c r="D419" i="1"/>
  <c r="AB419" i="1" s="1"/>
  <c r="AD419" i="1"/>
  <c r="AE419" i="1"/>
  <c r="W419" i="1" s="1"/>
  <c r="AG419" i="1"/>
  <c r="AI419" i="1" s="1"/>
  <c r="AC419" i="1" l="1"/>
  <c r="AF419" i="1"/>
  <c r="X419" i="1"/>
  <c r="Z419" i="1"/>
  <c r="Y419" i="1"/>
  <c r="AA419" i="1"/>
  <c r="W420" i="1"/>
  <c r="X420" i="1"/>
  <c r="Y420" i="1" s="1"/>
  <c r="Z420" i="1" s="1"/>
  <c r="AA420" i="1" s="1"/>
  <c r="AE420" i="1"/>
  <c r="AD420" i="1" s="1"/>
  <c r="B421" i="1"/>
  <c r="C421" i="1" s="1"/>
  <c r="W421" i="1"/>
  <c r="X421" i="1" s="1"/>
  <c r="Y421" i="1" s="1"/>
  <c r="Z421" i="1" s="1"/>
  <c r="AA421" i="1" s="1"/>
  <c r="AE421" i="1"/>
  <c r="AD421" i="1" s="1"/>
  <c r="B422" i="1"/>
  <c r="C422" i="1"/>
  <c r="W422" i="1"/>
  <c r="X422" i="1"/>
  <c r="Y422" i="1" s="1"/>
  <c r="Z422" i="1" l="1"/>
  <c r="AA422" i="1" s="1"/>
  <c r="AE422" i="1"/>
  <c r="AD422" i="1" s="1"/>
  <c r="B423" i="1"/>
  <c r="C423" i="1" s="1"/>
  <c r="W423" i="1"/>
  <c r="X423" i="1" s="1"/>
  <c r="Y423" i="1" s="1"/>
  <c r="Z423" i="1" l="1"/>
  <c r="AA423" i="1" s="1"/>
  <c r="AE423" i="1"/>
  <c r="AD423" i="1" s="1"/>
  <c r="B424" i="1"/>
  <c r="C424" i="1"/>
  <c r="W424" i="1"/>
  <c r="X424" i="1"/>
  <c r="Y424" i="1" s="1"/>
  <c r="Z424" i="1" l="1"/>
  <c r="AA424" i="1" s="1"/>
  <c r="AE424" i="1"/>
  <c r="AD424" i="1" s="1"/>
  <c r="B425" i="1"/>
  <c r="C425" i="1"/>
  <c r="W425" i="1"/>
  <c r="X425" i="1"/>
  <c r="Y425" i="1" s="1"/>
  <c r="Z425" i="1" l="1"/>
  <c r="AA425" i="1" s="1"/>
  <c r="AE425" i="1"/>
  <c r="AD425" i="1" s="1"/>
  <c r="B426" i="1"/>
  <c r="C426" i="1" s="1"/>
  <c r="D426" i="1"/>
  <c r="AC426" i="1" s="1"/>
  <c r="AD426" i="1"/>
  <c r="AE426" i="1"/>
  <c r="W426" i="1" s="1"/>
  <c r="AG426" i="1"/>
  <c r="AI426" i="1" s="1"/>
  <c r="AF426" i="1" l="1"/>
  <c r="AB426" i="1"/>
  <c r="X426" i="1"/>
  <c r="Z426" i="1"/>
  <c r="Y426" i="1"/>
  <c r="AA426" i="1"/>
  <c r="W427" i="1"/>
  <c r="X427" i="1" s="1"/>
  <c r="Y427" i="1" s="1"/>
  <c r="Z427" i="1" l="1"/>
  <c r="AA427" i="1" s="1"/>
  <c r="AE427" i="1"/>
  <c r="AD427" i="1" s="1"/>
  <c r="B428" i="1"/>
  <c r="C428" i="1"/>
  <c r="W428" i="1"/>
  <c r="X428" i="1"/>
  <c r="Y428" i="1" s="1"/>
  <c r="Z428" i="1" s="1"/>
  <c r="AA428" i="1" s="1"/>
  <c r="AE428" i="1"/>
  <c r="AD428" i="1" s="1"/>
  <c r="B429" i="1"/>
  <c r="C429" i="1" s="1"/>
  <c r="D429" i="1"/>
  <c r="AB429" i="1" s="1"/>
  <c r="AD429" i="1"/>
  <c r="AE429" i="1"/>
  <c r="W429" i="1" s="1"/>
  <c r="AG429" i="1"/>
  <c r="AI429" i="1" s="1"/>
  <c r="AC429" i="1" l="1"/>
  <c r="AF429" i="1"/>
  <c r="X429" i="1"/>
  <c r="Z429" i="1"/>
  <c r="Y429" i="1"/>
  <c r="AA429" i="1"/>
  <c r="AE430" i="1"/>
  <c r="W430" i="1" s="1"/>
  <c r="X430" i="1" l="1"/>
  <c r="Y430" i="1" s="1"/>
  <c r="AD430" i="1"/>
  <c r="Z430" i="1" l="1"/>
  <c r="AA430" i="1" s="1"/>
  <c r="B431" i="1"/>
  <c r="C431" i="1" s="1"/>
  <c r="D431" i="1"/>
  <c r="AC431" i="1" s="1"/>
  <c r="AD431" i="1"/>
  <c r="AE431" i="1"/>
  <c r="W431" i="1" s="1"/>
  <c r="AG431" i="1"/>
  <c r="AI431" i="1" s="1"/>
  <c r="AF431" i="1" l="1"/>
  <c r="AB431" i="1"/>
  <c r="Y431" i="1"/>
  <c r="AA431" i="1"/>
  <c r="X431" i="1"/>
  <c r="Z431" i="1"/>
  <c r="AE432" i="1"/>
  <c r="W432" i="1" s="1"/>
  <c r="X432" i="1" l="1"/>
  <c r="Y432" i="1" s="1"/>
  <c r="Z432" i="1" s="1"/>
  <c r="AA432" i="1" s="1"/>
  <c r="AD432" i="1"/>
  <c r="B433" i="1"/>
  <c r="C433" i="1" s="1"/>
  <c r="D433" i="1"/>
  <c r="AB433" i="1" s="1"/>
  <c r="AD433" i="1"/>
  <c r="AE433" i="1"/>
  <c r="W433" i="1" s="1"/>
  <c r="AG433" i="1"/>
  <c r="AI433" i="1" s="1"/>
  <c r="AC433" i="1" l="1"/>
  <c r="AF433" i="1"/>
  <c r="X433" i="1"/>
  <c r="Z433" i="1"/>
  <c r="Y433" i="1"/>
  <c r="AA433" i="1"/>
  <c r="AE434" i="1"/>
  <c r="W434" i="1" s="1"/>
  <c r="X434" i="1" l="1"/>
  <c r="Y434" i="1" s="1"/>
  <c r="Z434" i="1" s="1"/>
  <c r="AA434" i="1" s="1"/>
  <c r="AD434" i="1"/>
  <c r="B435" i="1"/>
  <c r="C435" i="1" s="1"/>
  <c r="D435" i="1"/>
  <c r="AC435" i="1" s="1"/>
  <c r="AD435" i="1"/>
  <c r="AE435" i="1"/>
  <c r="W435" i="1" s="1"/>
  <c r="AG435" i="1"/>
  <c r="AI435" i="1" s="1"/>
  <c r="AF435" i="1" l="1"/>
  <c r="AB435" i="1"/>
  <c r="Y435" i="1"/>
  <c r="AA435" i="1"/>
  <c r="X435" i="1"/>
  <c r="Z435" i="1"/>
  <c r="W332" i="1"/>
  <c r="X332" i="1" s="1"/>
  <c r="Y332" i="1" s="1"/>
  <c r="Z332" i="1" s="1"/>
  <c r="AA332" i="1" s="1"/>
  <c r="AE332" i="1"/>
  <c r="AD332" i="1" s="1"/>
  <c r="B333" i="1"/>
  <c r="C333" i="1" s="1"/>
  <c r="W333" i="1"/>
  <c r="X333" i="1" s="1"/>
  <c r="Y333" i="1" s="1"/>
  <c r="Z333" i="1" l="1"/>
  <c r="AA333" i="1" s="1"/>
  <c r="AE333" i="1"/>
  <c r="AD333" i="1" s="1"/>
  <c r="B334" i="1"/>
  <c r="C334" i="1" s="1"/>
  <c r="W334" i="1"/>
  <c r="X334" i="1" s="1"/>
  <c r="Y334" i="1" s="1"/>
  <c r="Z334" i="1" l="1"/>
  <c r="AA334" i="1" s="1"/>
  <c r="AE334" i="1"/>
  <c r="AD334" i="1" s="1"/>
  <c r="B335" i="1"/>
  <c r="C335" i="1" s="1"/>
  <c r="W335" i="1"/>
  <c r="X335" i="1" s="1"/>
  <c r="Y335" i="1" s="1"/>
  <c r="Z335" i="1" l="1"/>
  <c r="AA335" i="1" s="1"/>
  <c r="AE335" i="1"/>
  <c r="AD335" i="1" s="1"/>
  <c r="B336" i="1"/>
  <c r="C336" i="1" s="1"/>
  <c r="W336" i="1"/>
  <c r="X336" i="1" s="1"/>
  <c r="Y336" i="1" s="1"/>
  <c r="Z336" i="1" s="1"/>
  <c r="AA336" i="1" s="1"/>
  <c r="AE336" i="1"/>
  <c r="AD336" i="1" s="1"/>
  <c r="B337" i="1"/>
  <c r="C337" i="1" s="1"/>
  <c r="D337" i="1"/>
  <c r="AB337" i="1" s="1"/>
  <c r="AD337" i="1"/>
  <c r="AE337" i="1"/>
  <c r="W337" i="1" s="1"/>
  <c r="AG337" i="1"/>
  <c r="AI337" i="1" s="1"/>
  <c r="AC337" i="1" l="1"/>
  <c r="AF337" i="1"/>
  <c r="X337" i="1"/>
  <c r="Z337" i="1"/>
  <c r="Y337" i="1"/>
  <c r="AA337" i="1"/>
  <c r="W338" i="1"/>
  <c r="X338" i="1" s="1"/>
  <c r="Y338" i="1" s="1"/>
  <c r="Z338" i="1" l="1"/>
  <c r="AA338" i="1" s="1"/>
  <c r="AE338" i="1"/>
  <c r="AD338" i="1" s="1"/>
  <c r="B339" i="1"/>
  <c r="C339" i="1" s="1"/>
  <c r="W339" i="1"/>
  <c r="X339" i="1" s="1"/>
  <c r="Y339" i="1" s="1"/>
  <c r="Z339" i="1" s="1"/>
  <c r="AA339" i="1" s="1"/>
  <c r="AE339" i="1"/>
  <c r="AD339" i="1" s="1"/>
  <c r="B340" i="1"/>
  <c r="C340" i="1" s="1"/>
  <c r="W340" i="1"/>
  <c r="X340" i="1" s="1"/>
  <c r="Y340" i="1" s="1"/>
  <c r="Z340" i="1" l="1"/>
  <c r="AA340" i="1" s="1"/>
  <c r="AE340" i="1"/>
  <c r="AD340" i="1" s="1"/>
  <c r="B341" i="1"/>
  <c r="C341" i="1" s="1"/>
  <c r="W341" i="1"/>
  <c r="X341" i="1" s="1"/>
  <c r="Y341" i="1" s="1"/>
  <c r="Z341" i="1" s="1"/>
  <c r="AA341" i="1" s="1"/>
  <c r="AE341" i="1"/>
  <c r="AD341" i="1" s="1"/>
  <c r="B342" i="1"/>
  <c r="C342" i="1" s="1"/>
  <c r="W342" i="1"/>
  <c r="X342" i="1" s="1"/>
  <c r="Y342" i="1" s="1"/>
  <c r="Z342" i="1" l="1"/>
  <c r="AA342" i="1" s="1"/>
  <c r="AE342" i="1"/>
  <c r="AD342" i="1" s="1"/>
  <c r="B343" i="1"/>
  <c r="C343" i="1" s="1"/>
  <c r="W343" i="1"/>
  <c r="X343" i="1" s="1"/>
  <c r="Y343" i="1" s="1"/>
  <c r="Z343" i="1" l="1"/>
  <c r="AA343" i="1" s="1"/>
  <c r="AE343" i="1"/>
  <c r="AD343" i="1" s="1"/>
  <c r="B344" i="1"/>
  <c r="C344" i="1" s="1"/>
  <c r="W344" i="1"/>
  <c r="X344" i="1" s="1"/>
  <c r="Y344" i="1" s="1"/>
  <c r="Z344" i="1" l="1"/>
  <c r="AA344" i="1" s="1"/>
  <c r="AE344" i="1"/>
  <c r="AD344" i="1" s="1"/>
  <c r="B388" i="1" l="1"/>
  <c r="C388" i="1" s="1"/>
  <c r="D388" i="1"/>
  <c r="AC388" i="1" s="1"/>
  <c r="AD388" i="1"/>
  <c r="AE388" i="1"/>
  <c r="W388" i="1" s="1"/>
  <c r="AG388" i="1"/>
  <c r="AI388" i="1" s="1"/>
  <c r="B381" i="1"/>
  <c r="C381" i="1" s="1"/>
  <c r="D381" i="1"/>
  <c r="AC381" i="1" s="1"/>
  <c r="AD381" i="1"/>
  <c r="AE381" i="1"/>
  <c r="W381" i="1" s="1"/>
  <c r="AG381" i="1"/>
  <c r="AI381" i="1" s="1"/>
  <c r="B384" i="1"/>
  <c r="C384" i="1" s="1"/>
  <c r="D384" i="1"/>
  <c r="AC384" i="1" s="1"/>
  <c r="AD384" i="1"/>
  <c r="AE384" i="1"/>
  <c r="W384" i="1" s="1"/>
  <c r="AG384" i="1"/>
  <c r="AI384" i="1" s="1"/>
  <c r="B368" i="1"/>
  <c r="C368" i="1" s="1"/>
  <c r="D368" i="1"/>
  <c r="AC368" i="1" s="1"/>
  <c r="AD368" i="1"/>
  <c r="AE368" i="1"/>
  <c r="W368" i="1" s="1"/>
  <c r="AG368" i="1"/>
  <c r="AI368" i="1" s="1"/>
  <c r="B370" i="1"/>
  <c r="C370" i="1" s="1"/>
  <c r="AE370" i="1"/>
  <c r="W370" i="1" s="1"/>
  <c r="AF388" i="1" l="1"/>
  <c r="AB388" i="1"/>
  <c r="Y388" i="1"/>
  <c r="AA388" i="1"/>
  <c r="X388" i="1"/>
  <c r="Z388" i="1"/>
  <c r="AF381" i="1"/>
  <c r="AB381" i="1"/>
  <c r="Y381" i="1"/>
  <c r="AA381" i="1"/>
  <c r="X381" i="1"/>
  <c r="Z381" i="1"/>
  <c r="AF384" i="1"/>
  <c r="AB384" i="1"/>
  <c r="Y384" i="1"/>
  <c r="AA384" i="1"/>
  <c r="X384" i="1"/>
  <c r="Z384" i="1"/>
  <c r="AF368" i="1"/>
  <c r="AB368" i="1"/>
  <c r="Y368" i="1"/>
  <c r="AA368" i="1"/>
  <c r="X368" i="1"/>
  <c r="Z368" i="1"/>
  <c r="X370" i="1"/>
  <c r="Y370" i="1" s="1"/>
  <c r="Z370" i="1" s="1"/>
  <c r="AA370" i="1" s="1"/>
  <c r="AD370" i="1"/>
  <c r="B356" i="1"/>
  <c r="C356" i="1" s="1"/>
  <c r="D356" i="1"/>
  <c r="AC356" i="1" s="1"/>
  <c r="AD356" i="1"/>
  <c r="AE356" i="1"/>
  <c r="W356" i="1" s="1"/>
  <c r="AG356" i="1"/>
  <c r="AI356" i="1" s="1"/>
  <c r="AF356" i="1" l="1"/>
  <c r="AB356" i="1"/>
  <c r="Y356" i="1"/>
  <c r="AA356" i="1"/>
  <c r="X356" i="1"/>
  <c r="Z356" i="1"/>
  <c r="B325" i="1" l="1"/>
  <c r="C325" i="1" s="1"/>
  <c r="D325" i="1"/>
  <c r="AC325" i="1" s="1"/>
  <c r="AD325" i="1"/>
  <c r="AE325" i="1"/>
  <c r="W325" i="1" s="1"/>
  <c r="AG325" i="1"/>
  <c r="AI325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D331" i="1"/>
  <c r="AC331" i="1" s="1"/>
  <c r="AD331" i="1"/>
  <c r="AE331" i="1"/>
  <c r="W331" i="1" s="1"/>
  <c r="AG331" i="1"/>
  <c r="AI331" i="1" s="1"/>
  <c r="AD326" i="1" l="1"/>
  <c r="AD330" i="1"/>
  <c r="AD329" i="1"/>
  <c r="AD328" i="1"/>
  <c r="AD327" i="1"/>
  <c r="AF325" i="1"/>
  <c r="AB325" i="1"/>
  <c r="X330" i="1"/>
  <c r="Y330" i="1" s="1"/>
  <c r="X328" i="1"/>
  <c r="Y328" i="1" s="1"/>
  <c r="Z328" i="1" s="1"/>
  <c r="AA328" i="1" s="1"/>
  <c r="X326" i="1"/>
  <c r="Y326" i="1" s="1"/>
  <c r="Z326" i="1" s="1"/>
  <c r="AA326" i="1" s="1"/>
  <c r="X329" i="1"/>
  <c r="Y329" i="1" s="1"/>
  <c r="Z329" i="1" s="1"/>
  <c r="AA329" i="1" s="1"/>
  <c r="X327" i="1"/>
  <c r="Y327" i="1" s="1"/>
  <c r="Z327" i="1" s="1"/>
  <c r="AA327" i="1" s="1"/>
  <c r="Y325" i="1"/>
  <c r="AA325" i="1"/>
  <c r="X325" i="1"/>
  <c r="Z325" i="1"/>
  <c r="AF331" i="1"/>
  <c r="AB331" i="1"/>
  <c r="Y331" i="1"/>
  <c r="AA331" i="1"/>
  <c r="X331" i="1"/>
  <c r="Z331" i="1"/>
  <c r="Z330" i="1" l="1"/>
  <c r="AA330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478" i="1" l="1"/>
  <c r="C478" i="1" s="1"/>
  <c r="D478" i="1"/>
  <c r="AC478" i="1" s="1"/>
  <c r="AD478" i="1"/>
  <c r="AE478" i="1"/>
  <c r="W478" i="1" s="1"/>
  <c r="AG478" i="1"/>
  <c r="AI478" i="1" s="1"/>
  <c r="AE479" i="1"/>
  <c r="W479" i="1" s="1"/>
  <c r="B480" i="1"/>
  <c r="C480" i="1" s="1"/>
  <c r="AE480" i="1"/>
  <c r="W480" i="1" s="1"/>
  <c r="B481" i="1"/>
  <c r="C481" i="1" s="1"/>
  <c r="AE481" i="1"/>
  <c r="W481" i="1" s="1"/>
  <c r="AE482" i="1"/>
  <c r="W482" i="1" s="1"/>
  <c r="B483" i="1"/>
  <c r="C483" i="1" s="1"/>
  <c r="AE483" i="1"/>
  <c r="W483" i="1" s="1"/>
  <c r="AE484" i="1"/>
  <c r="W484" i="1" s="1"/>
  <c r="B485" i="1"/>
  <c r="C485" i="1" s="1"/>
  <c r="AE485" i="1"/>
  <c r="W485" i="1" s="1"/>
  <c r="AD479" i="1" l="1"/>
  <c r="AD485" i="1"/>
  <c r="AD484" i="1"/>
  <c r="AD483" i="1"/>
  <c r="AD482" i="1"/>
  <c r="AD481" i="1"/>
  <c r="AD480" i="1"/>
  <c r="AF478" i="1"/>
  <c r="AB478" i="1"/>
  <c r="X483" i="1"/>
  <c r="Y483" i="1" s="1"/>
  <c r="Z483" i="1" s="1"/>
  <c r="AA483" i="1" s="1"/>
  <c r="X481" i="1"/>
  <c r="X479" i="1"/>
  <c r="Y479" i="1" s="1"/>
  <c r="Z479" i="1" s="1"/>
  <c r="AA479" i="1" s="1"/>
  <c r="X484" i="1"/>
  <c r="Y484" i="1" s="1"/>
  <c r="Z484" i="1" s="1"/>
  <c r="AA484" i="1" s="1"/>
  <c r="X482" i="1"/>
  <c r="Y482" i="1" s="1"/>
  <c r="Z482" i="1" s="1"/>
  <c r="AA482" i="1" s="1"/>
  <c r="X480" i="1"/>
  <c r="Y478" i="1"/>
  <c r="AA478" i="1"/>
  <c r="X478" i="1"/>
  <c r="Z478" i="1"/>
  <c r="X485" i="1"/>
  <c r="Y485" i="1" s="1"/>
  <c r="Z485" i="1" s="1"/>
  <c r="AA485" i="1" s="1"/>
  <c r="Y481" i="1" l="1"/>
  <c r="Z481" i="1" s="1"/>
  <c r="AA481" i="1" s="1"/>
  <c r="Y480" i="1"/>
  <c r="Z480" i="1" s="1"/>
  <c r="AA480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663" i="1" l="1"/>
  <c r="C663" i="1" s="1"/>
  <c r="AE663" i="1"/>
  <c r="W663" i="1" s="1"/>
  <c r="AD663" i="1" l="1"/>
  <c r="X663" i="1"/>
  <c r="Y663" i="1" s="1"/>
  <c r="Z663" i="1" l="1"/>
  <c r="AA663" i="1" s="1"/>
  <c r="AE563" i="1"/>
  <c r="W563" i="1" s="1"/>
  <c r="AE564" i="1"/>
  <c r="W564" i="1" s="1"/>
  <c r="B565" i="1"/>
  <c r="C565" i="1" s="1"/>
  <c r="AE565" i="1"/>
  <c r="W565" i="1" s="1"/>
  <c r="AD563" i="1" l="1"/>
  <c r="AD565" i="1"/>
  <c r="AD564" i="1"/>
  <c r="X563" i="1"/>
  <c r="Y563" i="1" s="1"/>
  <c r="Z563" i="1" s="1"/>
  <c r="AA563" i="1" s="1"/>
  <c r="X564" i="1"/>
  <c r="X565" i="1"/>
  <c r="Y565" i="1" s="1"/>
  <c r="Z565" i="1" s="1"/>
  <c r="AA565" i="1" s="1"/>
  <c r="F1" i="10"/>
  <c r="Y564" i="1" l="1"/>
  <c r="Z564" i="1" s="1"/>
  <c r="AA564" i="1" s="1"/>
  <c r="AE504" i="1"/>
  <c r="W504" i="1" s="1"/>
  <c r="AE505" i="1"/>
  <c r="W505" i="1" s="1"/>
  <c r="AD505" i="1" l="1"/>
  <c r="AD504" i="1"/>
  <c r="X505" i="1"/>
  <c r="X504" i="1"/>
  <c r="Y504" i="1" s="1"/>
  <c r="Z504" i="1" s="1"/>
  <c r="AA504" i="1" s="1"/>
  <c r="Y505" i="1" l="1"/>
  <c r="Z505" i="1" s="1"/>
  <c r="AA505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462" i="1" l="1"/>
  <c r="W462" i="1" s="1"/>
  <c r="AD462" i="1" l="1"/>
  <c r="X462" i="1"/>
  <c r="D169" i="1"/>
  <c r="D321" i="1"/>
  <c r="D577" i="1"/>
  <c r="D64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462" i="1" l="1"/>
  <c r="Z462" i="1" s="1"/>
  <c r="AA462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662" i="1"/>
  <c r="W662" i="1" s="1"/>
  <c r="B662" i="1"/>
  <c r="C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B659" i="1"/>
  <c r="C659" i="1" s="1"/>
  <c r="AE658" i="1"/>
  <c r="W658" i="1" s="1"/>
  <c r="AE657" i="1"/>
  <c r="W657" i="1" s="1"/>
  <c r="B657" i="1"/>
  <c r="C657" i="1" s="1"/>
  <c r="AE656" i="1"/>
  <c r="W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E652" i="1"/>
  <c r="W652" i="1" s="1"/>
  <c r="B652" i="1"/>
  <c r="C652" i="1" s="1"/>
  <c r="AE651" i="1"/>
  <c r="W651" i="1" s="1"/>
  <c r="AE650" i="1"/>
  <c r="W650" i="1" s="1"/>
  <c r="B650" i="1"/>
  <c r="C650" i="1" s="1"/>
  <c r="AE649" i="1"/>
  <c r="W649" i="1" s="1"/>
  <c r="AE648" i="1"/>
  <c r="W648" i="1" s="1"/>
  <c r="B648" i="1"/>
  <c r="C648" i="1" s="1"/>
  <c r="AE647" i="1"/>
  <c r="W647" i="1" s="1"/>
  <c r="AG646" i="1"/>
  <c r="AI646" i="1" s="1"/>
  <c r="AD646" i="1"/>
  <c r="AE646" i="1"/>
  <c r="W646" i="1" s="1"/>
  <c r="Y646" i="1" s="1"/>
  <c r="AC646" i="1"/>
  <c r="B646" i="1"/>
  <c r="C646" i="1" s="1"/>
  <c r="AE645" i="1"/>
  <c r="W645" i="1" s="1"/>
  <c r="B645" i="1"/>
  <c r="C645" i="1" s="1"/>
  <c r="AE644" i="1"/>
  <c r="W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B639" i="1"/>
  <c r="C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AE630" i="1"/>
  <c r="W630" i="1" s="1"/>
  <c r="AE629" i="1"/>
  <c r="W629" i="1" s="1"/>
  <c r="AE628" i="1"/>
  <c r="W628" i="1" s="1"/>
  <c r="B628" i="1"/>
  <c r="C628" i="1" s="1"/>
  <c r="AE627" i="1"/>
  <c r="W627" i="1" s="1"/>
  <c r="AE626" i="1"/>
  <c r="W626" i="1" s="1"/>
  <c r="B626" i="1"/>
  <c r="C626" i="1" s="1"/>
  <c r="AE625" i="1"/>
  <c r="W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B619" i="1"/>
  <c r="C619" i="1" s="1"/>
  <c r="AE618" i="1"/>
  <c r="W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4" i="1"/>
  <c r="W604" i="1" s="1"/>
  <c r="B604" i="1"/>
  <c r="C604" i="1" s="1"/>
  <c r="AE603" i="1"/>
  <c r="W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E599" i="1"/>
  <c r="W599" i="1" s="1"/>
  <c r="AE598" i="1"/>
  <c r="W598" i="1" s="1"/>
  <c r="AE597" i="1"/>
  <c r="W597" i="1" s="1"/>
  <c r="AE596" i="1"/>
  <c r="W596" i="1" s="1"/>
  <c r="AE595" i="1"/>
  <c r="W595" i="1" s="1"/>
  <c r="B595" i="1"/>
  <c r="C595" i="1" s="1"/>
  <c r="AE594" i="1"/>
  <c r="W594" i="1" s="1"/>
  <c r="B594" i="1"/>
  <c r="C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AE580" i="1"/>
  <c r="W580" i="1" s="1"/>
  <c r="AE579" i="1"/>
  <c r="W579" i="1" s="1"/>
  <c r="B579" i="1"/>
  <c r="C579" i="1" s="1"/>
  <c r="AE578" i="1"/>
  <c r="W578" i="1" s="1"/>
  <c r="AG577" i="1"/>
  <c r="AI577" i="1" s="1"/>
  <c r="AD577" i="1"/>
  <c r="AE577" i="1"/>
  <c r="W577" i="1" s="1"/>
  <c r="AC577" i="1"/>
  <c r="B577" i="1"/>
  <c r="C577" i="1" s="1"/>
  <c r="AE576" i="1"/>
  <c r="W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AE566" i="1"/>
  <c r="W566" i="1" s="1"/>
  <c r="B566" i="1"/>
  <c r="C566" i="1" s="1"/>
  <c r="AE562" i="1"/>
  <c r="W562" i="1" s="1"/>
  <c r="AE561" i="1"/>
  <c r="W561" i="1" s="1"/>
  <c r="AE560" i="1"/>
  <c r="W560" i="1" s="1"/>
  <c r="B560" i="1"/>
  <c r="C560" i="1" s="1"/>
  <c r="AE559" i="1"/>
  <c r="W559" i="1" s="1"/>
  <c r="AE553" i="1"/>
  <c r="W553" i="1" s="1"/>
  <c r="B553" i="1"/>
  <c r="C553" i="1" s="1"/>
  <c r="AE552" i="1"/>
  <c r="W552" i="1" s="1"/>
  <c r="AE551" i="1"/>
  <c r="W551" i="1" s="1"/>
  <c r="B551" i="1"/>
  <c r="C551" i="1" s="1"/>
  <c r="AE550" i="1"/>
  <c r="W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6" i="1"/>
  <c r="W546" i="1" s="1"/>
  <c r="AE545" i="1"/>
  <c r="W545" i="1" s="1"/>
  <c r="B545" i="1"/>
  <c r="C545" i="1" s="1"/>
  <c r="AE544" i="1"/>
  <c r="W544" i="1" s="1"/>
  <c r="B544" i="1"/>
  <c r="C544" i="1" s="1"/>
  <c r="AE543" i="1"/>
  <c r="W543" i="1" s="1"/>
  <c r="B543" i="1"/>
  <c r="C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B538" i="1"/>
  <c r="C538" i="1" s="1"/>
  <c r="AE537" i="1"/>
  <c r="W537" i="1" s="1"/>
  <c r="B537" i="1"/>
  <c r="C537" i="1" s="1"/>
  <c r="AE536" i="1"/>
  <c r="W536" i="1" s="1"/>
  <c r="B536" i="1"/>
  <c r="C536" i="1" s="1"/>
  <c r="AE535" i="1"/>
  <c r="W535" i="1" s="1"/>
  <c r="AE534" i="1"/>
  <c r="W534" i="1" s="1"/>
  <c r="B534" i="1"/>
  <c r="C534" i="1" s="1"/>
  <c r="AE533" i="1"/>
  <c r="W533" i="1" s="1"/>
  <c r="B533" i="1"/>
  <c r="C533" i="1" s="1"/>
  <c r="AE532" i="1"/>
  <c r="W532" i="1" s="1"/>
  <c r="AE558" i="1"/>
  <c r="W558" i="1" s="1"/>
  <c r="B558" i="1"/>
  <c r="C558" i="1" s="1"/>
  <c r="AE557" i="1"/>
  <c r="W557" i="1" s="1"/>
  <c r="B557" i="1"/>
  <c r="C557" i="1" s="1"/>
  <c r="AE556" i="1"/>
  <c r="W556" i="1" s="1"/>
  <c r="AE555" i="1"/>
  <c r="W555" i="1" s="1"/>
  <c r="B555" i="1"/>
  <c r="C555" i="1" s="1"/>
  <c r="AE554" i="1"/>
  <c r="W554" i="1" s="1"/>
  <c r="AE531" i="1"/>
  <c r="W531" i="1" s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X523" i="1" s="1"/>
  <c r="AE522" i="1"/>
  <c r="W522" i="1" s="1"/>
  <c r="B522" i="1"/>
  <c r="C522" i="1" s="1"/>
  <c r="AE521" i="1"/>
  <c r="W521" i="1" s="1"/>
  <c r="X521" i="1" s="1"/>
  <c r="B521" i="1"/>
  <c r="C521" i="1" s="1"/>
  <c r="AE520" i="1"/>
  <c r="W520" i="1" s="1"/>
  <c r="B520" i="1"/>
  <c r="C520" i="1" s="1"/>
  <c r="AE519" i="1"/>
  <c r="W519" i="1" s="1"/>
  <c r="X519" i="1" s="1"/>
  <c r="B519" i="1"/>
  <c r="C519" i="1" s="1"/>
  <c r="AE518" i="1"/>
  <c r="W518" i="1" s="1"/>
  <c r="AE517" i="1"/>
  <c r="W517" i="1" s="1"/>
  <c r="X517" i="1" s="1"/>
  <c r="B517" i="1"/>
  <c r="C517" i="1" s="1"/>
  <c r="AE516" i="1"/>
  <c r="W516" i="1" s="1"/>
  <c r="B516" i="1"/>
  <c r="C516" i="1" s="1"/>
  <c r="AE515" i="1"/>
  <c r="W515" i="1" s="1"/>
  <c r="X515" i="1" s="1"/>
  <c r="AE514" i="1"/>
  <c r="W514" i="1" s="1"/>
  <c r="B514" i="1"/>
  <c r="C514" i="1" s="1"/>
  <c r="AE513" i="1"/>
  <c r="W513" i="1" s="1"/>
  <c r="X513" i="1" s="1"/>
  <c r="AE512" i="1"/>
  <c r="W512" i="1" s="1"/>
  <c r="AE511" i="1"/>
  <c r="W511" i="1" s="1"/>
  <c r="X511" i="1" s="1"/>
  <c r="B511" i="1"/>
  <c r="C511" i="1" s="1"/>
  <c r="AE510" i="1"/>
  <c r="W510" i="1" s="1"/>
  <c r="B510" i="1"/>
  <c r="C510" i="1" s="1"/>
  <c r="AE509" i="1"/>
  <c r="W509" i="1" s="1"/>
  <c r="X509" i="1" s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AE503" i="1"/>
  <c r="W503" i="1" s="1"/>
  <c r="X503" i="1" s="1"/>
  <c r="AE502" i="1"/>
  <c r="W502" i="1" s="1"/>
  <c r="AE501" i="1"/>
  <c r="W501" i="1" s="1"/>
  <c r="X501" i="1" s="1"/>
  <c r="B501" i="1"/>
  <c r="C501" i="1" s="1"/>
  <c r="AE500" i="1"/>
  <c r="W500" i="1" s="1"/>
  <c r="AE499" i="1"/>
  <c r="W499" i="1" s="1"/>
  <c r="X499" i="1" s="1"/>
  <c r="AE498" i="1"/>
  <c r="W498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AE492" i="1"/>
  <c r="W492" i="1" s="1"/>
  <c r="B492" i="1"/>
  <c r="C492" i="1" s="1"/>
  <c r="AE491" i="1"/>
  <c r="W491" i="1" s="1"/>
  <c r="X491" i="1" s="1"/>
  <c r="AE486" i="1"/>
  <c r="W486" i="1" s="1"/>
  <c r="AE477" i="1"/>
  <c r="W477" i="1" s="1"/>
  <c r="X477" i="1" s="1"/>
  <c r="AE476" i="1"/>
  <c r="W476" i="1" s="1"/>
  <c r="AE475" i="1"/>
  <c r="W475" i="1" s="1"/>
  <c r="X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B471" i="1"/>
  <c r="C471" i="1" s="1"/>
  <c r="AE470" i="1"/>
  <c r="W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AE466" i="1"/>
  <c r="W466" i="1" s="1"/>
  <c r="AE465" i="1"/>
  <c r="W465" i="1" s="1"/>
  <c r="X465" i="1" s="1"/>
  <c r="B465" i="1"/>
  <c r="C465" i="1" s="1"/>
  <c r="AE464" i="1"/>
  <c r="W464" i="1" s="1"/>
  <c r="AE463" i="1"/>
  <c r="W463" i="1" s="1"/>
  <c r="X463" i="1" s="1"/>
  <c r="AE461" i="1"/>
  <c r="W461" i="1" s="1"/>
  <c r="B461" i="1"/>
  <c r="C461" i="1" s="1"/>
  <c r="AE460" i="1"/>
  <c r="W460" i="1" s="1"/>
  <c r="X460" i="1" s="1"/>
  <c r="B460" i="1"/>
  <c r="C460" i="1" s="1"/>
  <c r="AE459" i="1"/>
  <c r="W459" i="1" s="1"/>
  <c r="AE490" i="1"/>
  <c r="W490" i="1" s="1"/>
  <c r="X490" i="1" s="1"/>
  <c r="B490" i="1"/>
  <c r="C490" i="1" s="1"/>
  <c r="AE489" i="1"/>
  <c r="W489" i="1" s="1"/>
  <c r="AE488" i="1"/>
  <c r="W488" i="1" s="1"/>
  <c r="X488" i="1" s="1"/>
  <c r="AE487" i="1"/>
  <c r="W487" i="1" s="1"/>
  <c r="AE458" i="1"/>
  <c r="W458" i="1" s="1"/>
  <c r="X458" i="1" s="1"/>
  <c r="B458" i="1"/>
  <c r="C458" i="1" s="1"/>
  <c r="AE457" i="1"/>
  <c r="W457" i="1" s="1"/>
  <c r="AE456" i="1"/>
  <c r="W456" i="1" s="1"/>
  <c r="X456" i="1" s="1"/>
  <c r="B456" i="1"/>
  <c r="C456" i="1" s="1"/>
  <c r="AE455" i="1"/>
  <c r="W455" i="1" s="1"/>
  <c r="AE454" i="1"/>
  <c r="W454" i="1" s="1"/>
  <c r="X454" i="1" s="1"/>
  <c r="B454" i="1"/>
  <c r="C454" i="1" s="1"/>
  <c r="AE453" i="1"/>
  <c r="W453" i="1" s="1"/>
  <c r="AE452" i="1"/>
  <c r="W452" i="1" s="1"/>
  <c r="X452" i="1" s="1"/>
  <c r="B452" i="1"/>
  <c r="C452" i="1" s="1"/>
  <c r="AE451" i="1"/>
  <c r="W451" i="1" s="1"/>
  <c r="AE450" i="1"/>
  <c r="W450" i="1" s="1"/>
  <c r="X450" i="1" s="1"/>
  <c r="AE449" i="1"/>
  <c r="W449" i="1" s="1"/>
  <c r="AE448" i="1"/>
  <c r="W448" i="1" s="1"/>
  <c r="B448" i="1"/>
  <c r="C448" i="1" s="1"/>
  <c r="AE447" i="1"/>
  <c r="W447" i="1" s="1"/>
  <c r="AE446" i="1"/>
  <c r="W446" i="1" s="1"/>
  <c r="B446" i="1"/>
  <c r="C446" i="1" s="1"/>
  <c r="AE445" i="1"/>
  <c r="W445" i="1" s="1"/>
  <c r="AE444" i="1"/>
  <c r="W444" i="1" s="1"/>
  <c r="AE443" i="1"/>
  <c r="W443" i="1" s="1"/>
  <c r="B443" i="1"/>
  <c r="C443" i="1" s="1"/>
  <c r="AE442" i="1"/>
  <c r="W442" i="1" s="1"/>
  <c r="B442" i="1"/>
  <c r="C442" i="1" s="1"/>
  <c r="AE441" i="1"/>
  <c r="W441" i="1" s="1"/>
  <c r="B441" i="1"/>
  <c r="C441" i="1" s="1"/>
  <c r="AE440" i="1"/>
  <c r="B440" i="1"/>
  <c r="C440" i="1" s="1"/>
  <c r="AE439" i="1"/>
  <c r="W439" i="1" s="1"/>
  <c r="AE438" i="1"/>
  <c r="B438" i="1"/>
  <c r="C438" i="1" s="1"/>
  <c r="AE437" i="1"/>
  <c r="W437" i="1" s="1"/>
  <c r="B437" i="1"/>
  <c r="C437" i="1" s="1"/>
  <c r="AE436" i="1"/>
  <c r="AE387" i="1"/>
  <c r="B387" i="1"/>
  <c r="C387" i="1" s="1"/>
  <c r="AE386" i="1"/>
  <c r="AE385" i="1"/>
  <c r="W385" i="1" s="1"/>
  <c r="AE383" i="1"/>
  <c r="AE382" i="1"/>
  <c r="AE380" i="1"/>
  <c r="W380" i="1" s="1"/>
  <c r="B380" i="1"/>
  <c r="C380" i="1" s="1"/>
  <c r="AE379" i="1"/>
  <c r="B379" i="1"/>
  <c r="C379" i="1" s="1"/>
  <c r="AE378" i="1"/>
  <c r="B378" i="1"/>
  <c r="C378" i="1" s="1"/>
  <c r="AE377" i="1"/>
  <c r="AE376" i="1"/>
  <c r="W376" i="1" s="1"/>
  <c r="B376" i="1"/>
  <c r="C376" i="1" s="1"/>
  <c r="AE375" i="1"/>
  <c r="B375" i="1"/>
  <c r="C375" i="1" s="1"/>
  <c r="AE374" i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69" i="1"/>
  <c r="W369" i="1" s="1"/>
  <c r="AE367" i="1"/>
  <c r="W367" i="1" s="1"/>
  <c r="B367" i="1"/>
  <c r="C367" i="1" s="1"/>
  <c r="AE366" i="1"/>
  <c r="W366" i="1" s="1"/>
  <c r="B366" i="1"/>
  <c r="C366" i="1" s="1"/>
  <c r="AE365" i="1"/>
  <c r="W365" i="1" s="1"/>
  <c r="AE364" i="1"/>
  <c r="W364" i="1" s="1"/>
  <c r="AE363" i="1"/>
  <c r="W363" i="1" s="1"/>
  <c r="AE362" i="1"/>
  <c r="W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B358" i="1"/>
  <c r="C358" i="1" s="1"/>
  <c r="AE357" i="1"/>
  <c r="W357" i="1" s="1"/>
  <c r="AE355" i="1"/>
  <c r="W355" i="1" s="1"/>
  <c r="AE354" i="1"/>
  <c r="W354" i="1" s="1"/>
  <c r="AE353" i="1"/>
  <c r="W353" i="1" s="1"/>
  <c r="AE352" i="1"/>
  <c r="W352" i="1" s="1"/>
  <c r="B352" i="1"/>
  <c r="C352" i="1" s="1"/>
  <c r="AE351" i="1"/>
  <c r="W351" i="1" s="1"/>
  <c r="B351" i="1"/>
  <c r="C351" i="1" s="1"/>
  <c r="AE350" i="1"/>
  <c r="W350" i="1" s="1"/>
  <c r="AE349" i="1"/>
  <c r="W349" i="1" s="1"/>
  <c r="B349" i="1"/>
  <c r="C349" i="1" s="1"/>
  <c r="AE348" i="1"/>
  <c r="W348" i="1" s="1"/>
  <c r="AE347" i="1"/>
  <c r="W347" i="1" s="1"/>
  <c r="AE346" i="1"/>
  <c r="W346" i="1" s="1"/>
  <c r="AE345" i="1"/>
  <c r="W345" i="1" s="1"/>
  <c r="B345" i="1"/>
  <c r="C345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584" i="1" l="1"/>
  <c r="AD545" i="1"/>
  <c r="E1" i="12"/>
  <c r="B7" i="12" s="1"/>
  <c r="AD495" i="1"/>
  <c r="AD380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47" i="1"/>
  <c r="AD643" i="1"/>
  <c r="AD645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586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648" i="1"/>
  <c r="AD650" i="1"/>
  <c r="AD652" i="1"/>
  <c r="AD655" i="1"/>
  <c r="AD701" i="1"/>
  <c r="AD752" i="1"/>
  <c r="AD758" i="1"/>
  <c r="AD739" i="1"/>
  <c r="AD727" i="1"/>
  <c r="AD693" i="1"/>
  <c r="AD686" i="1"/>
  <c r="AD683" i="1"/>
  <c r="AD681" i="1"/>
  <c r="AD677" i="1"/>
  <c r="AD628" i="1"/>
  <c r="AD517" i="1"/>
  <c r="AD498" i="1"/>
  <c r="AD566" i="1"/>
  <c r="AD596" i="1"/>
  <c r="AD622" i="1"/>
  <c r="AD610" i="1"/>
  <c r="AD590" i="1"/>
  <c r="AD561" i="1"/>
  <c r="AD551" i="1"/>
  <c r="AD549" i="1"/>
  <c r="AD501" i="1"/>
  <c r="AD503" i="1"/>
  <c r="AD511" i="1"/>
  <c r="AD558" i="1"/>
  <c r="AD542" i="1"/>
  <c r="AD522" i="1"/>
  <c r="AD345" i="1"/>
  <c r="AD493" i="1"/>
  <c r="AD450" i="1"/>
  <c r="AD452" i="1"/>
  <c r="AD454" i="1"/>
  <c r="AD456" i="1"/>
  <c r="AD444" i="1"/>
  <c r="AD385" i="1"/>
  <c r="AD376" i="1"/>
  <c r="AD363" i="1"/>
  <c r="AD361" i="1"/>
  <c r="AD354" i="1"/>
  <c r="AD352" i="1"/>
  <c r="AD349" i="1"/>
  <c r="AD347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12" i="1"/>
  <c r="AD670" i="1"/>
  <c r="AD688" i="1"/>
  <c r="AD692" i="1"/>
  <c r="AD699" i="1"/>
  <c r="AD709" i="1"/>
  <c r="AD737" i="1"/>
  <c r="AD747" i="1"/>
  <c r="AD762" i="1"/>
  <c r="AD627" i="1"/>
  <c r="AD660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598" i="1"/>
  <c r="AD606" i="1"/>
  <c r="AD638" i="1"/>
  <c r="AD654" i="1"/>
  <c r="AD665" i="1"/>
  <c r="AD658" i="1"/>
  <c r="AD662" i="1"/>
  <c r="AD657" i="1"/>
  <c r="AD659" i="1"/>
  <c r="AD661" i="1"/>
  <c r="AD664" i="1"/>
  <c r="AD656" i="1"/>
  <c r="AD653" i="1"/>
  <c r="AD651" i="1"/>
  <c r="AD579" i="1"/>
  <c r="AD608" i="1"/>
  <c r="AD618" i="1"/>
  <c r="AD634" i="1"/>
  <c r="AD644" i="1"/>
  <c r="AD649" i="1"/>
  <c r="AD647" i="1"/>
  <c r="AD591" i="1"/>
  <c r="AD601" i="1"/>
  <c r="AD607" i="1"/>
  <c r="AD609" i="1"/>
  <c r="AD616" i="1"/>
  <c r="AD624" i="1"/>
  <c r="AD625" i="1"/>
  <c r="AD629" i="1"/>
  <c r="AD636" i="1"/>
  <c r="AD641" i="1"/>
  <c r="AD639" i="1"/>
  <c r="AD640" i="1"/>
  <c r="AD642" i="1"/>
  <c r="AD635" i="1"/>
  <c r="AD637" i="1"/>
  <c r="AD633" i="1"/>
  <c r="AD631" i="1"/>
  <c r="AD630" i="1"/>
  <c r="AD632" i="1"/>
  <c r="AD626" i="1"/>
  <c r="AD623" i="1"/>
  <c r="AD617" i="1"/>
  <c r="AD621" i="1"/>
  <c r="AD620" i="1"/>
  <c r="AD619" i="1"/>
  <c r="AD615" i="1"/>
  <c r="AD614" i="1"/>
  <c r="AD613" i="1"/>
  <c r="AD611" i="1"/>
  <c r="AD595" i="1"/>
  <c r="AD600" i="1"/>
  <c r="AD604" i="1"/>
  <c r="AD605" i="1"/>
  <c r="AD603" i="1"/>
  <c r="AD602" i="1"/>
  <c r="AD599" i="1"/>
  <c r="AD597" i="1"/>
  <c r="AD594" i="1"/>
  <c r="AD593" i="1"/>
  <c r="AD592" i="1"/>
  <c r="AD589" i="1"/>
  <c r="AD552" i="1"/>
  <c r="AD583" i="1"/>
  <c r="AD576" i="1"/>
  <c r="AD581" i="1"/>
  <c r="AD587" i="1"/>
  <c r="AD578" i="1"/>
  <c r="AD580" i="1"/>
  <c r="AD582" i="1"/>
  <c r="AD585" i="1"/>
  <c r="AD588" i="1"/>
  <c r="AD534" i="1"/>
  <c r="AD568" i="1"/>
  <c r="AD544" i="1"/>
  <c r="AD559" i="1"/>
  <c r="AD574" i="1"/>
  <c r="AD537" i="1"/>
  <c r="AD546" i="1"/>
  <c r="AD553" i="1"/>
  <c r="AD562" i="1"/>
  <c r="AD572" i="1"/>
  <c r="E1" i="9"/>
  <c r="B22" i="9" s="1"/>
  <c r="AD575" i="1"/>
  <c r="AD570" i="1"/>
  <c r="AD573" i="1"/>
  <c r="AD571" i="1"/>
  <c r="AD569" i="1"/>
  <c r="AD567" i="1"/>
  <c r="AD560" i="1"/>
  <c r="AD550" i="1"/>
  <c r="X548" i="1"/>
  <c r="AD548" i="1"/>
  <c r="AD543" i="1"/>
  <c r="AD541" i="1"/>
  <c r="AD540" i="1"/>
  <c r="AD539" i="1"/>
  <c r="AD538" i="1"/>
  <c r="AD536" i="1"/>
  <c r="AD532" i="1"/>
  <c r="AD515" i="1"/>
  <c r="AD520" i="1"/>
  <c r="AD526" i="1"/>
  <c r="AD533" i="1"/>
  <c r="AD535" i="1"/>
  <c r="AD556" i="1"/>
  <c r="AD530" i="1"/>
  <c r="AD524" i="1"/>
  <c r="AD528" i="1"/>
  <c r="AD554" i="1"/>
  <c r="AD523" i="1"/>
  <c r="AD525" i="1"/>
  <c r="AD527" i="1"/>
  <c r="AD529" i="1"/>
  <c r="AD531" i="1"/>
  <c r="AD555" i="1"/>
  <c r="AD557" i="1"/>
  <c r="AD518" i="1"/>
  <c r="AD502" i="1"/>
  <c r="AD516" i="1"/>
  <c r="AD519" i="1"/>
  <c r="AD521" i="1"/>
  <c r="AD514" i="1"/>
  <c r="AD513" i="1"/>
  <c r="AD512" i="1"/>
  <c r="AD494" i="1"/>
  <c r="AD508" i="1"/>
  <c r="AD510" i="1"/>
  <c r="AD509" i="1"/>
  <c r="AD507" i="1"/>
  <c r="AD506" i="1"/>
  <c r="AD500" i="1"/>
  <c r="AD499" i="1"/>
  <c r="AD497" i="1"/>
  <c r="AD496" i="1"/>
  <c r="AD492" i="1"/>
  <c r="AD474" i="1"/>
  <c r="AD466" i="1"/>
  <c r="AD458" i="1"/>
  <c r="AD472" i="1"/>
  <c r="AD477" i="1"/>
  <c r="AD491" i="1"/>
  <c r="AD468" i="1"/>
  <c r="AD486" i="1"/>
  <c r="AD490" i="1"/>
  <c r="AD465" i="1"/>
  <c r="AD470" i="1"/>
  <c r="AD475" i="1"/>
  <c r="AD457" i="1"/>
  <c r="AD467" i="1"/>
  <c r="AD469" i="1"/>
  <c r="AD471" i="1"/>
  <c r="AD473" i="1"/>
  <c r="AD476" i="1"/>
  <c r="AD488" i="1"/>
  <c r="AD460" i="1"/>
  <c r="AD464" i="1"/>
  <c r="AD487" i="1"/>
  <c r="AD489" i="1"/>
  <c r="AD459" i="1"/>
  <c r="AD461" i="1"/>
  <c r="AD463" i="1"/>
  <c r="W68" i="1"/>
  <c r="AD455" i="1"/>
  <c r="AD453" i="1"/>
  <c r="AD451" i="1"/>
  <c r="W102" i="1"/>
  <c r="X102" i="1" s="1"/>
  <c r="Y102" i="1" s="1"/>
  <c r="Z102" i="1" s="1"/>
  <c r="AA102" i="1" s="1"/>
  <c r="W89" i="1"/>
  <c r="X89" i="1" s="1"/>
  <c r="AD437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41" i="1"/>
  <c r="AD442" i="1"/>
  <c r="AD443" i="1"/>
  <c r="AD445" i="1"/>
  <c r="AD446" i="1"/>
  <c r="AD447" i="1"/>
  <c r="AD448" i="1"/>
  <c r="AD449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48" i="1"/>
  <c r="AD350" i="1"/>
  <c r="AD351" i="1"/>
  <c r="AD353" i="1"/>
  <c r="AD355" i="1"/>
  <c r="AD357" i="1"/>
  <c r="AD358" i="1"/>
  <c r="AD359" i="1"/>
  <c r="AD360" i="1"/>
  <c r="AD362" i="1"/>
  <c r="AD364" i="1"/>
  <c r="AD365" i="1"/>
  <c r="AD366" i="1"/>
  <c r="AD367" i="1"/>
  <c r="AD369" i="1"/>
  <c r="AD43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38" i="1"/>
  <c r="X438" i="1" s="1"/>
  <c r="AD438" i="1"/>
  <c r="W43" i="1"/>
  <c r="W374" i="1"/>
  <c r="X374" i="1" s="1"/>
  <c r="Y374" i="1" s="1"/>
  <c r="Z374" i="1" s="1"/>
  <c r="AA374" i="1" s="1"/>
  <c r="AD374" i="1"/>
  <c r="W375" i="1"/>
  <c r="X375" i="1" s="1"/>
  <c r="Y375" i="1" s="1"/>
  <c r="Z375" i="1" s="1"/>
  <c r="AA375" i="1" s="1"/>
  <c r="AD375" i="1"/>
  <c r="W377" i="1"/>
  <c r="X377" i="1" s="1"/>
  <c r="AD377" i="1"/>
  <c r="W378" i="1"/>
  <c r="X378" i="1" s="1"/>
  <c r="Y378" i="1" s="1"/>
  <c r="AD378" i="1"/>
  <c r="W379" i="1"/>
  <c r="X379" i="1" s="1"/>
  <c r="Y379" i="1" s="1"/>
  <c r="Z379" i="1" s="1"/>
  <c r="AA379" i="1" s="1"/>
  <c r="AD379" i="1"/>
  <c r="W382" i="1"/>
  <c r="X382" i="1" s="1"/>
  <c r="Y382" i="1" s="1"/>
  <c r="Z382" i="1" s="1"/>
  <c r="AA382" i="1" s="1"/>
  <c r="AD382" i="1"/>
  <c r="W383" i="1"/>
  <c r="X383" i="1" s="1"/>
  <c r="AD383" i="1"/>
  <c r="W386" i="1"/>
  <c r="X386" i="1" s="1"/>
  <c r="Y386" i="1" s="1"/>
  <c r="Z386" i="1" s="1"/>
  <c r="AA386" i="1" s="1"/>
  <c r="AD386" i="1"/>
  <c r="W387" i="1"/>
  <c r="X387" i="1" s="1"/>
  <c r="AD387" i="1"/>
  <c r="W436" i="1"/>
  <c r="X436" i="1" s="1"/>
  <c r="AD436" i="1"/>
  <c r="W440" i="1"/>
  <c r="X440" i="1" s="1"/>
  <c r="AD440" i="1"/>
  <c r="E1" i="4"/>
  <c r="AD371" i="1"/>
  <c r="AD372" i="1"/>
  <c r="AD373" i="1"/>
  <c r="AD346" i="1"/>
  <c r="D1" i="7"/>
  <c r="E1" i="7" s="1"/>
  <c r="B29" i="7" s="1"/>
  <c r="AF321" i="1"/>
  <c r="AF577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577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45" i="1"/>
  <c r="Y345" i="1" s="1"/>
  <c r="Z345" i="1" s="1"/>
  <c r="AA345" i="1" s="1"/>
  <c r="X346" i="1"/>
  <c r="Y346" i="1" s="1"/>
  <c r="Z346" i="1" s="1"/>
  <c r="AA346" i="1" s="1"/>
  <c r="X347" i="1"/>
  <c r="Y347" i="1" s="1"/>
  <c r="X348" i="1"/>
  <c r="X349" i="1"/>
  <c r="X350" i="1"/>
  <c r="Y350" i="1" s="1"/>
  <c r="Z350" i="1" s="1"/>
  <c r="AA350" i="1" s="1"/>
  <c r="X351" i="1"/>
  <c r="X352" i="1"/>
  <c r="X353" i="1"/>
  <c r="Y353" i="1" s="1"/>
  <c r="Z353" i="1" s="1"/>
  <c r="AA353" i="1" s="1"/>
  <c r="X354" i="1"/>
  <c r="Y354" i="1" s="1"/>
  <c r="Z354" i="1" s="1"/>
  <c r="AA354" i="1" s="1"/>
  <c r="X355" i="1"/>
  <c r="X357" i="1"/>
  <c r="X358" i="1"/>
  <c r="Y358" i="1" s="1"/>
  <c r="Z358" i="1" s="1"/>
  <c r="AA358" i="1" s="1"/>
  <c r="X359" i="1"/>
  <c r="X360" i="1"/>
  <c r="Y360" i="1" s="1"/>
  <c r="Z360" i="1" s="1"/>
  <c r="AA360" i="1" s="1"/>
  <c r="X361" i="1"/>
  <c r="Y361" i="1" s="1"/>
  <c r="X362" i="1"/>
  <c r="X363" i="1"/>
  <c r="X364" i="1"/>
  <c r="X365" i="1"/>
  <c r="Y365" i="1" s="1"/>
  <c r="Z365" i="1" s="1"/>
  <c r="AA365" i="1" s="1"/>
  <c r="X366" i="1"/>
  <c r="X367" i="1"/>
  <c r="X369" i="1"/>
  <c r="Y369" i="1" s="1"/>
  <c r="Z369" i="1" s="1"/>
  <c r="AA369" i="1" s="1"/>
  <c r="X371" i="1"/>
  <c r="X372" i="1"/>
  <c r="X373" i="1"/>
  <c r="X376" i="1"/>
  <c r="X380" i="1"/>
  <c r="X385" i="1"/>
  <c r="X437" i="1"/>
  <c r="Y437" i="1" s="1"/>
  <c r="Z437" i="1" s="1"/>
  <c r="AA437" i="1" s="1"/>
  <c r="X439" i="1"/>
  <c r="Y439" i="1" s="1"/>
  <c r="Z439" i="1" s="1"/>
  <c r="AA439" i="1" s="1"/>
  <c r="X441" i="1"/>
  <c r="Y441" i="1" s="1"/>
  <c r="Z441" i="1" s="1"/>
  <c r="AA441" i="1" s="1"/>
  <c r="X442" i="1"/>
  <c r="Y442" i="1" s="1"/>
  <c r="Z442" i="1" s="1"/>
  <c r="AA442" i="1" s="1"/>
  <c r="X443" i="1"/>
  <c r="X444" i="1"/>
  <c r="Y444" i="1" s="1"/>
  <c r="Z444" i="1" s="1"/>
  <c r="AA444" i="1" s="1"/>
  <c r="X445" i="1"/>
  <c r="Y445" i="1" s="1"/>
  <c r="Z445" i="1" s="1"/>
  <c r="AA445" i="1" s="1"/>
  <c r="X446" i="1"/>
  <c r="X447" i="1"/>
  <c r="Y447" i="1" s="1"/>
  <c r="X448" i="1"/>
  <c r="X449" i="1"/>
  <c r="Y449" i="1" s="1"/>
  <c r="Z449" i="1" s="1"/>
  <c r="AA449" i="1" s="1"/>
  <c r="X524" i="1"/>
  <c r="X525" i="1"/>
  <c r="X526" i="1"/>
  <c r="X527" i="1"/>
  <c r="X528" i="1"/>
  <c r="X529" i="1"/>
  <c r="X530" i="1"/>
  <c r="X531" i="1"/>
  <c r="X554" i="1"/>
  <c r="X555" i="1"/>
  <c r="X556" i="1"/>
  <c r="X557" i="1"/>
  <c r="X558" i="1"/>
  <c r="Y558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9" i="1"/>
  <c r="Y549" i="1" s="1"/>
  <c r="X550" i="1"/>
  <c r="X551" i="1"/>
  <c r="Y551" i="1" s="1"/>
  <c r="X552" i="1"/>
  <c r="Y552" i="1" s="1"/>
  <c r="X553" i="1"/>
  <c r="Y553" i="1" s="1"/>
  <c r="X559" i="1"/>
  <c r="Y559" i="1" s="1"/>
  <c r="X560" i="1"/>
  <c r="Y560" i="1" s="1"/>
  <c r="X561" i="1"/>
  <c r="Y561" i="1" s="1"/>
  <c r="X562" i="1"/>
  <c r="Y562" i="1" s="1"/>
  <c r="X566" i="1"/>
  <c r="X567" i="1"/>
  <c r="X568" i="1"/>
  <c r="Y568" i="1" s="1"/>
  <c r="X569" i="1"/>
  <c r="Y569" i="1" s="1"/>
  <c r="X570" i="1"/>
  <c r="X571" i="1"/>
  <c r="X572" i="1"/>
  <c r="Y572" i="1" s="1"/>
  <c r="X573" i="1"/>
  <c r="Y573" i="1" s="1"/>
  <c r="X574" i="1"/>
  <c r="X575" i="1"/>
  <c r="X576" i="1"/>
  <c r="Y576" i="1" s="1"/>
  <c r="Z577" i="1"/>
  <c r="X577" i="1"/>
  <c r="AA577" i="1"/>
  <c r="Y577" i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X603" i="1"/>
  <c r="X604" i="1"/>
  <c r="X605" i="1"/>
  <c r="X606" i="1"/>
  <c r="Y606" i="1" s="1"/>
  <c r="X607" i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X621" i="1"/>
  <c r="X622" i="1"/>
  <c r="Y622" i="1" s="1"/>
  <c r="X623" i="1"/>
  <c r="X624" i="1"/>
  <c r="Y624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50" i="1"/>
  <c r="Z450" i="1" s="1"/>
  <c r="AA450" i="1" s="1"/>
  <c r="X451" i="1"/>
  <c r="Y451" i="1" s="1"/>
  <c r="Y452" i="1"/>
  <c r="Z452" i="1" s="1"/>
  <c r="AA452" i="1" s="1"/>
  <c r="X453" i="1"/>
  <c r="Y453" i="1" s="1"/>
  <c r="Z453" i="1" s="1"/>
  <c r="AA453" i="1" s="1"/>
  <c r="Y454" i="1"/>
  <c r="Z454" i="1" s="1"/>
  <c r="AA454" i="1" s="1"/>
  <c r="X455" i="1"/>
  <c r="Y456" i="1"/>
  <c r="Z456" i="1" s="1"/>
  <c r="AA456" i="1" s="1"/>
  <c r="X457" i="1"/>
  <c r="Y457" i="1" s="1"/>
  <c r="Y458" i="1"/>
  <c r="Z458" i="1" s="1"/>
  <c r="AA458" i="1" s="1"/>
  <c r="X487" i="1"/>
  <c r="Y488" i="1"/>
  <c r="Z488" i="1" s="1"/>
  <c r="AA488" i="1" s="1"/>
  <c r="X489" i="1"/>
  <c r="Y489" i="1" s="1"/>
  <c r="Z489" i="1" s="1"/>
  <c r="AA489" i="1" s="1"/>
  <c r="Y490" i="1"/>
  <c r="Z490" i="1" s="1"/>
  <c r="AA490" i="1" s="1"/>
  <c r="X459" i="1"/>
  <c r="Y460" i="1"/>
  <c r="Z460" i="1" s="1"/>
  <c r="AA460" i="1" s="1"/>
  <c r="X461" i="1"/>
  <c r="Y461" i="1" s="1"/>
  <c r="Z461" i="1" s="1"/>
  <c r="AA461" i="1" s="1"/>
  <c r="Y463" i="1"/>
  <c r="Z463" i="1" s="1"/>
  <c r="AA463" i="1" s="1"/>
  <c r="X464" i="1"/>
  <c r="Y465" i="1"/>
  <c r="Z465" i="1" s="1"/>
  <c r="AA465" i="1" s="1"/>
  <c r="X466" i="1"/>
  <c r="Y466" i="1" s="1"/>
  <c r="Y467" i="1"/>
  <c r="Z467" i="1" s="1"/>
  <c r="AA467" i="1" s="1"/>
  <c r="X468" i="1"/>
  <c r="Y468" i="1" s="1"/>
  <c r="Y469" i="1"/>
  <c r="Z469" i="1" s="1"/>
  <c r="AA469" i="1" s="1"/>
  <c r="X470" i="1"/>
  <c r="Y470" i="1" s="1"/>
  <c r="Y471" i="1"/>
  <c r="Z471" i="1" s="1"/>
  <c r="AA471" i="1" s="1"/>
  <c r="X472" i="1"/>
  <c r="Y473" i="1"/>
  <c r="Z473" i="1" s="1"/>
  <c r="AA473" i="1" s="1"/>
  <c r="X474" i="1"/>
  <c r="Y475" i="1"/>
  <c r="Z475" i="1" s="1"/>
  <c r="AA475" i="1" s="1"/>
  <c r="X476" i="1"/>
  <c r="Y476" i="1" s="1"/>
  <c r="Y477" i="1"/>
  <c r="Z477" i="1" s="1"/>
  <c r="AA477" i="1" s="1"/>
  <c r="X486" i="1"/>
  <c r="Y486" i="1" s="1"/>
  <c r="Z486" i="1" s="1"/>
  <c r="AA486" i="1" s="1"/>
  <c r="Y491" i="1"/>
  <c r="Z491" i="1" s="1"/>
  <c r="AA491" i="1" s="1"/>
  <c r="X492" i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498" i="1"/>
  <c r="Y498" i="1" s="1"/>
  <c r="Z498" i="1" s="1"/>
  <c r="AA498" i="1" s="1"/>
  <c r="Y499" i="1"/>
  <c r="Z499" i="1" s="1"/>
  <c r="AA499" i="1" s="1"/>
  <c r="X500" i="1"/>
  <c r="Y501" i="1"/>
  <c r="Z501" i="1" s="1"/>
  <c r="AA501" i="1" s="1"/>
  <c r="X502" i="1"/>
  <c r="Y503" i="1"/>
  <c r="Z503" i="1" s="1"/>
  <c r="AA503" i="1" s="1"/>
  <c r="X506" i="1"/>
  <c r="Y506" i="1" s="1"/>
  <c r="Y507" i="1"/>
  <c r="Z507" i="1" s="1"/>
  <c r="AA507" i="1" s="1"/>
  <c r="X508" i="1"/>
  <c r="Y508" i="1" s="1"/>
  <c r="Z508" i="1" s="1"/>
  <c r="AA508" i="1" s="1"/>
  <c r="Y509" i="1"/>
  <c r="Z509" i="1" s="1"/>
  <c r="AA509" i="1" s="1"/>
  <c r="X510" i="1"/>
  <c r="Y511" i="1"/>
  <c r="Z511" i="1" s="1"/>
  <c r="AA511" i="1" s="1"/>
  <c r="X512" i="1"/>
  <c r="Y512" i="1" s="1"/>
  <c r="Y513" i="1"/>
  <c r="Z513" i="1" s="1"/>
  <c r="AA513" i="1" s="1"/>
  <c r="X514" i="1"/>
  <c r="Y515" i="1"/>
  <c r="Z515" i="1" s="1"/>
  <c r="AA515" i="1" s="1"/>
  <c r="X516" i="1"/>
  <c r="Y516" i="1" s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625" i="1"/>
  <c r="Y625" i="1" s="1"/>
  <c r="X626" i="1"/>
  <c r="Y626" i="1" s="1"/>
  <c r="X627" i="1"/>
  <c r="Y627" i="1" s="1"/>
  <c r="Z627" i="1" s="1"/>
  <c r="AA627" i="1" s="1"/>
  <c r="X628" i="1"/>
  <c r="Y628" i="1" s="1"/>
  <c r="X629" i="1"/>
  <c r="Y629" i="1" s="1"/>
  <c r="Z629" i="1" s="1"/>
  <c r="AA629" i="1" s="1"/>
  <c r="X630" i="1"/>
  <c r="X631" i="1"/>
  <c r="Y631" i="1" s="1"/>
  <c r="Z631" i="1" s="1"/>
  <c r="AA631" i="1" s="1"/>
  <c r="X632" i="1"/>
  <c r="Y632" i="1" s="1"/>
  <c r="X633" i="1"/>
  <c r="Y633" i="1" s="1"/>
  <c r="Z633" i="1" s="1"/>
  <c r="AA633" i="1" s="1"/>
  <c r="X634" i="1"/>
  <c r="Y634" i="1" s="1"/>
  <c r="X635" i="1"/>
  <c r="Y635" i="1" s="1"/>
  <c r="Z635" i="1" s="1"/>
  <c r="AA635" i="1" s="1"/>
  <c r="X636" i="1"/>
  <c r="Y636" i="1" s="1"/>
  <c r="X637" i="1"/>
  <c r="Y637" i="1" s="1"/>
  <c r="Z637" i="1" s="1"/>
  <c r="AA637" i="1" s="1"/>
  <c r="X638" i="1"/>
  <c r="Y638" i="1" s="1"/>
  <c r="Z638" i="1" s="1"/>
  <c r="AA638" i="1" s="1"/>
  <c r="X639" i="1"/>
  <c r="Y639" i="1" s="1"/>
  <c r="X640" i="1"/>
  <c r="Y640" i="1" s="1"/>
  <c r="Z640" i="1" s="1"/>
  <c r="AA640" i="1" s="1"/>
  <c r="X641" i="1"/>
  <c r="Y641" i="1" s="1"/>
  <c r="X642" i="1"/>
  <c r="Y642" i="1" s="1"/>
  <c r="Z642" i="1" s="1"/>
  <c r="AA642" i="1" s="1"/>
  <c r="X643" i="1"/>
  <c r="Y643" i="1" s="1"/>
  <c r="Z643" i="1" s="1"/>
  <c r="AA643" i="1" s="1"/>
  <c r="X644" i="1"/>
  <c r="X645" i="1"/>
  <c r="Y645" i="1" s="1"/>
  <c r="AF646" i="1"/>
  <c r="AB646" i="1"/>
  <c r="Z646" i="1"/>
  <c r="X646" i="1"/>
  <c r="AA646" i="1"/>
  <c r="X647" i="1"/>
  <c r="Y647" i="1" s="1"/>
  <c r="Z647" i="1" s="1"/>
  <c r="AA647" i="1" s="1"/>
  <c r="X648" i="1"/>
  <c r="Y648" i="1" s="1"/>
  <c r="X649" i="1"/>
  <c r="Y649" i="1" s="1"/>
  <c r="Z649" i="1" s="1"/>
  <c r="AA649" i="1" s="1"/>
  <c r="X650" i="1"/>
  <c r="Y650" i="1" s="1"/>
  <c r="X651" i="1"/>
  <c r="Y651" i="1" s="1"/>
  <c r="X652" i="1"/>
  <c r="Y652" i="1" s="1"/>
  <c r="Z652" i="1" s="1"/>
  <c r="AA652" i="1" s="1"/>
  <c r="X653" i="1"/>
  <c r="Y653" i="1" s="1"/>
  <c r="X654" i="1"/>
  <c r="Y654" i="1" s="1"/>
  <c r="Z654" i="1" s="1"/>
  <c r="AA654" i="1" s="1"/>
  <c r="X655" i="1"/>
  <c r="Y655" i="1" s="1"/>
  <c r="X656" i="1"/>
  <c r="Y656" i="1" s="1"/>
  <c r="X657" i="1"/>
  <c r="Y657" i="1" s="1"/>
  <c r="Z657" i="1" s="1"/>
  <c r="AA657" i="1" s="1"/>
  <c r="X658" i="1"/>
  <c r="Y658" i="1" s="1"/>
  <c r="X659" i="1"/>
  <c r="Y659" i="1" s="1"/>
  <c r="Z659" i="1" s="1"/>
  <c r="AA659" i="1" s="1"/>
  <c r="X660" i="1"/>
  <c r="Y660" i="1" s="1"/>
  <c r="X661" i="1"/>
  <c r="Y661" i="1" s="1"/>
  <c r="Z661" i="1" s="1"/>
  <c r="AA661" i="1" s="1"/>
  <c r="X662" i="1"/>
  <c r="Y662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586" i="1" l="1"/>
  <c r="AA586" i="1" s="1"/>
  <c r="Z584" i="1"/>
  <c r="AA5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45" i="1"/>
  <c r="AA545" i="1" s="1"/>
  <c r="Y380" i="1"/>
  <c r="Z380" i="1" s="1"/>
  <c r="AA380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655" i="1"/>
  <c r="AA655" i="1" s="1"/>
  <c r="Z650" i="1"/>
  <c r="AA650" i="1" s="1"/>
  <c r="Z648" i="1"/>
  <c r="AA648" i="1" s="1"/>
  <c r="Z628" i="1"/>
  <c r="AA628" i="1" s="1"/>
  <c r="Y566" i="1"/>
  <c r="Z566" i="1" s="1"/>
  <c r="AA566" i="1" s="1"/>
  <c r="Z622" i="1"/>
  <c r="AA622" i="1" s="1"/>
  <c r="Y590" i="1"/>
  <c r="Z590" i="1" s="1"/>
  <c r="AA590" i="1" s="1"/>
  <c r="Z576" i="1"/>
  <c r="AA576" i="1" s="1"/>
  <c r="Z561" i="1"/>
  <c r="AA561" i="1" s="1"/>
  <c r="Z596" i="1"/>
  <c r="AA596" i="1" s="1"/>
  <c r="Z549" i="1"/>
  <c r="AA549" i="1" s="1"/>
  <c r="Z547" i="1"/>
  <c r="AA547" i="1" s="1"/>
  <c r="Z610" i="1"/>
  <c r="AA610" i="1" s="1"/>
  <c r="Z551" i="1"/>
  <c r="AA551" i="1" s="1"/>
  <c r="Z542" i="1"/>
  <c r="AA542" i="1" s="1"/>
  <c r="Z558" i="1"/>
  <c r="AA558" i="1" s="1"/>
  <c r="Y522" i="1"/>
  <c r="Z522" i="1" s="1"/>
  <c r="AA522" i="1" s="1"/>
  <c r="Y385" i="1"/>
  <c r="Z385" i="1" s="1"/>
  <c r="AA385" i="1" s="1"/>
  <c r="Y376" i="1"/>
  <c r="Z376" i="1" s="1"/>
  <c r="AA376" i="1" s="1"/>
  <c r="Y363" i="1"/>
  <c r="Z363" i="1" s="1"/>
  <c r="AA363" i="1" s="1"/>
  <c r="Z361" i="1"/>
  <c r="AA361" i="1" s="1"/>
  <c r="Y352" i="1"/>
  <c r="Z352" i="1" s="1"/>
  <c r="AA352" i="1" s="1"/>
  <c r="Y349" i="1"/>
  <c r="Z349" i="1" s="1"/>
  <c r="AA349" i="1" s="1"/>
  <c r="Z347" i="1"/>
  <c r="AA347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14" i="1"/>
  <c r="Z614" i="1" s="1"/>
  <c r="AA614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662" i="1"/>
  <c r="AA662" i="1" s="1"/>
  <c r="Z660" i="1"/>
  <c r="AA660" i="1" s="1"/>
  <c r="Z658" i="1"/>
  <c r="AA658" i="1" s="1"/>
  <c r="Z656" i="1"/>
  <c r="AA656" i="1" s="1"/>
  <c r="Z653" i="1"/>
  <c r="AA653" i="1" s="1"/>
  <c r="Z651" i="1"/>
  <c r="AA651" i="1" s="1"/>
  <c r="Z612" i="1"/>
  <c r="AA612" i="1" s="1"/>
  <c r="Y605" i="1"/>
  <c r="Z605" i="1" s="1"/>
  <c r="AA605" i="1" s="1"/>
  <c r="Z591" i="1"/>
  <c r="AA591" i="1" s="1"/>
  <c r="Z645" i="1"/>
  <c r="AA645" i="1" s="1"/>
  <c r="Y644" i="1"/>
  <c r="Z644" i="1" s="1"/>
  <c r="AA644" i="1" s="1"/>
  <c r="Y623" i="1"/>
  <c r="Z623" i="1" s="1"/>
  <c r="AA623" i="1" s="1"/>
  <c r="Y621" i="1"/>
  <c r="Z621" i="1" s="1"/>
  <c r="AA621" i="1" s="1"/>
  <c r="Y620" i="1"/>
  <c r="Z620" i="1" s="1"/>
  <c r="AA620" i="1" s="1"/>
  <c r="Y603" i="1"/>
  <c r="Z603" i="1" s="1"/>
  <c r="AA603" i="1" s="1"/>
  <c r="Z562" i="1"/>
  <c r="AA562" i="1" s="1"/>
  <c r="Z641" i="1"/>
  <c r="AA641" i="1" s="1"/>
  <c r="Z639" i="1"/>
  <c r="AA639" i="1" s="1"/>
  <c r="Z636" i="1"/>
  <c r="AA636" i="1" s="1"/>
  <c r="Z634" i="1"/>
  <c r="AA634" i="1" s="1"/>
  <c r="Y630" i="1"/>
  <c r="Z630" i="1" s="1"/>
  <c r="AA630" i="1" s="1"/>
  <c r="Z632" i="1"/>
  <c r="AA632" i="1" s="1"/>
  <c r="Z626" i="1"/>
  <c r="AA626" i="1" s="1"/>
  <c r="Z625" i="1"/>
  <c r="AA625" i="1" s="1"/>
  <c r="Z624" i="1"/>
  <c r="AA624" i="1" s="1"/>
  <c r="Z619" i="1"/>
  <c r="AA619" i="1" s="1"/>
  <c r="Z618" i="1"/>
  <c r="AA618" i="1" s="1"/>
  <c r="Z617" i="1"/>
  <c r="AA617" i="1" s="1"/>
  <c r="Z616" i="1"/>
  <c r="AA616" i="1" s="1"/>
  <c r="Z615" i="1"/>
  <c r="AA615" i="1" s="1"/>
  <c r="Y613" i="1"/>
  <c r="Z613" i="1" s="1"/>
  <c r="AA613" i="1" s="1"/>
  <c r="Z611" i="1"/>
  <c r="AA611" i="1" s="1"/>
  <c r="Z609" i="1"/>
  <c r="AA609" i="1" s="1"/>
  <c r="Z608" i="1"/>
  <c r="AA608" i="1" s="1"/>
  <c r="Y607" i="1"/>
  <c r="Z607" i="1" s="1"/>
  <c r="AA607" i="1" s="1"/>
  <c r="Z606" i="1"/>
  <c r="AA606" i="1" s="1"/>
  <c r="Y604" i="1"/>
  <c r="Z604" i="1" s="1"/>
  <c r="AA604" i="1" s="1"/>
  <c r="Y602" i="1"/>
  <c r="Z602" i="1" s="1"/>
  <c r="AA602" i="1" s="1"/>
  <c r="Z601" i="1"/>
  <c r="AA601" i="1" s="1"/>
  <c r="Z600" i="1"/>
  <c r="AA600" i="1" s="1"/>
  <c r="Z599" i="1"/>
  <c r="AA599" i="1" s="1"/>
  <c r="Z598" i="1"/>
  <c r="AA598" i="1" s="1"/>
  <c r="Z597" i="1"/>
  <c r="AA597" i="1" s="1"/>
  <c r="Z595" i="1"/>
  <c r="AA595" i="1" s="1"/>
  <c r="Z594" i="1"/>
  <c r="AA594" i="1" s="1"/>
  <c r="Z593" i="1"/>
  <c r="AA593" i="1" s="1"/>
  <c r="Z592" i="1"/>
  <c r="AA592" i="1" s="1"/>
  <c r="Z589" i="1"/>
  <c r="AA589" i="1" s="1"/>
  <c r="Z588" i="1"/>
  <c r="AA588" i="1" s="1"/>
  <c r="Z583" i="1"/>
  <c r="AA583" i="1" s="1"/>
  <c r="Z582" i="1"/>
  <c r="AA582" i="1" s="1"/>
  <c r="Z581" i="1"/>
  <c r="AA581" i="1" s="1"/>
  <c r="Z580" i="1"/>
  <c r="AA580" i="1" s="1"/>
  <c r="Z579" i="1"/>
  <c r="AA579" i="1" s="1"/>
  <c r="Z578" i="1"/>
  <c r="AA578" i="1" s="1"/>
  <c r="X133" i="1"/>
  <c r="Y133" i="1" s="1"/>
  <c r="Z133" i="1" s="1"/>
  <c r="AA133" i="1" s="1"/>
  <c r="X70" i="1"/>
  <c r="Z587" i="1"/>
  <c r="AA587" i="1" s="1"/>
  <c r="Z585" i="1"/>
  <c r="AA585" i="1" s="1"/>
  <c r="B24" i="9"/>
  <c r="H24" i="9" s="1"/>
  <c r="Z573" i="1"/>
  <c r="AA573" i="1" s="1"/>
  <c r="Z572" i="1"/>
  <c r="AA572" i="1" s="1"/>
  <c r="Z569" i="1"/>
  <c r="AA569" i="1" s="1"/>
  <c r="Z568" i="1"/>
  <c r="AA568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6" i="1"/>
  <c r="AA546" i="1" s="1"/>
  <c r="Z543" i="1"/>
  <c r="AA543" i="1" s="1"/>
  <c r="Z541" i="1"/>
  <c r="AA541" i="1" s="1"/>
  <c r="Z540" i="1"/>
  <c r="AA540" i="1" s="1"/>
  <c r="Z539" i="1"/>
  <c r="AA539" i="1" s="1"/>
  <c r="Z537" i="1"/>
  <c r="AA537" i="1" s="1"/>
  <c r="Z536" i="1"/>
  <c r="AA536" i="1" s="1"/>
  <c r="Z535" i="1"/>
  <c r="AA535" i="1" s="1"/>
  <c r="Z534" i="1"/>
  <c r="AA534" i="1" s="1"/>
  <c r="Z533" i="1"/>
  <c r="AA533" i="1" s="1"/>
  <c r="Z532" i="1"/>
  <c r="AA532" i="1" s="1"/>
  <c r="Y575" i="1"/>
  <c r="Z575" i="1" s="1"/>
  <c r="AA575" i="1" s="1"/>
  <c r="Y574" i="1"/>
  <c r="Z574" i="1" s="1"/>
  <c r="AA574" i="1" s="1"/>
  <c r="Y571" i="1"/>
  <c r="Z571" i="1" s="1"/>
  <c r="AA571" i="1" s="1"/>
  <c r="Y570" i="1"/>
  <c r="Z570" i="1" s="1"/>
  <c r="AA570" i="1" s="1"/>
  <c r="Y567" i="1"/>
  <c r="Z567" i="1" s="1"/>
  <c r="AA567" i="1" s="1"/>
  <c r="Z544" i="1"/>
  <c r="AA544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59" i="1"/>
  <c r="AA559" i="1" s="1"/>
  <c r="Z553" i="1"/>
  <c r="AA553" i="1" s="1"/>
  <c r="Z552" i="1"/>
  <c r="AA552" i="1" s="1"/>
  <c r="Y550" i="1"/>
  <c r="Z550" i="1" s="1"/>
  <c r="AA550" i="1" s="1"/>
  <c r="Y548" i="1"/>
  <c r="Z548" i="1" s="1"/>
  <c r="AA548" i="1" s="1"/>
  <c r="Z538" i="1"/>
  <c r="AA538" i="1" s="1"/>
  <c r="A5" i="10"/>
  <c r="A7" i="10"/>
  <c r="A9" i="10"/>
  <c r="A11" i="10"/>
  <c r="A6" i="10"/>
  <c r="A8" i="10"/>
  <c r="A10" i="10"/>
  <c r="Y557" i="1"/>
  <c r="Z557" i="1" s="1"/>
  <c r="AA557" i="1" s="1"/>
  <c r="Y556" i="1"/>
  <c r="Z556" i="1" s="1"/>
  <c r="AA556" i="1" s="1"/>
  <c r="Y555" i="1"/>
  <c r="Z555" i="1" s="1"/>
  <c r="AA555" i="1" s="1"/>
  <c r="Y554" i="1"/>
  <c r="Z554" i="1" s="1"/>
  <c r="AA554" i="1" s="1"/>
  <c r="Y531" i="1"/>
  <c r="Z531" i="1" s="1"/>
  <c r="AA531" i="1" s="1"/>
  <c r="Y530" i="1"/>
  <c r="Z530" i="1" s="1"/>
  <c r="AA530" i="1" s="1"/>
  <c r="Y529" i="1"/>
  <c r="Z529" i="1" s="1"/>
  <c r="AA529" i="1" s="1"/>
  <c r="Y528" i="1"/>
  <c r="Z528" i="1" s="1"/>
  <c r="AA528" i="1" s="1"/>
  <c r="Y527" i="1"/>
  <c r="Z527" i="1" s="1"/>
  <c r="AA527" i="1" s="1"/>
  <c r="Y526" i="1"/>
  <c r="Z526" i="1" s="1"/>
  <c r="AA526" i="1" s="1"/>
  <c r="Y525" i="1"/>
  <c r="Z525" i="1" s="1"/>
  <c r="AA525" i="1" s="1"/>
  <c r="Y524" i="1"/>
  <c r="Z524" i="1" s="1"/>
  <c r="AA524" i="1" s="1"/>
  <c r="Y520" i="1"/>
  <c r="Z520" i="1" s="1"/>
  <c r="AA520" i="1" s="1"/>
  <c r="Y518" i="1"/>
  <c r="Z518" i="1" s="1"/>
  <c r="AA518" i="1" s="1"/>
  <c r="Z516" i="1"/>
  <c r="AA516" i="1" s="1"/>
  <c r="Y514" i="1"/>
  <c r="Z514" i="1" s="1"/>
  <c r="AA514" i="1" s="1"/>
  <c r="Z512" i="1"/>
  <c r="AA512" i="1" s="1"/>
  <c r="Y510" i="1"/>
  <c r="Z510" i="1" s="1"/>
  <c r="AA510" i="1" s="1"/>
  <c r="Z506" i="1"/>
  <c r="AA506" i="1" s="1"/>
  <c r="Y492" i="1"/>
  <c r="Z492" i="1" s="1"/>
  <c r="AA492" i="1" s="1"/>
  <c r="Y502" i="1"/>
  <c r="Z502" i="1" s="1"/>
  <c r="AA502" i="1" s="1"/>
  <c r="Y500" i="1"/>
  <c r="Z500" i="1" s="1"/>
  <c r="AA500" i="1" s="1"/>
  <c r="Z496" i="1"/>
  <c r="AA496" i="1" s="1"/>
  <c r="Y494" i="1"/>
  <c r="Z494" i="1" s="1"/>
  <c r="AA494" i="1" s="1"/>
  <c r="Y474" i="1"/>
  <c r="Z474" i="1" s="1"/>
  <c r="AA474" i="1" s="1"/>
  <c r="Z466" i="1"/>
  <c r="AA466" i="1" s="1"/>
  <c r="Z476" i="1"/>
  <c r="AA476" i="1" s="1"/>
  <c r="Y472" i="1"/>
  <c r="Z472" i="1" s="1"/>
  <c r="AA472" i="1" s="1"/>
  <c r="Z470" i="1"/>
  <c r="AA470" i="1" s="1"/>
  <c r="Z468" i="1"/>
  <c r="AA468" i="1" s="1"/>
  <c r="Y464" i="1"/>
  <c r="Z464" i="1" s="1"/>
  <c r="AA464" i="1" s="1"/>
  <c r="Y459" i="1"/>
  <c r="Z459" i="1" s="1"/>
  <c r="AA459" i="1" s="1"/>
  <c r="Y487" i="1"/>
  <c r="Z487" i="1" s="1"/>
  <c r="AA487" i="1" s="1"/>
  <c r="Z457" i="1"/>
  <c r="AA457" i="1" s="1"/>
  <c r="Y455" i="1"/>
  <c r="Z455" i="1" s="1"/>
  <c r="AA455" i="1" s="1"/>
  <c r="Z451" i="1"/>
  <c r="AA451" i="1" s="1"/>
  <c r="Z21" i="1"/>
  <c r="AA21" i="1" s="1"/>
  <c r="Z19" i="1"/>
  <c r="AA19" i="1" s="1"/>
  <c r="Z17" i="1"/>
  <c r="AA17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48" i="1"/>
  <c r="Z448" i="1" s="1"/>
  <c r="AA448" i="1" s="1"/>
  <c r="Z447" i="1"/>
  <c r="AA447" i="1" s="1"/>
  <c r="Y446" i="1"/>
  <c r="Z446" i="1" s="1"/>
  <c r="AA446" i="1" s="1"/>
  <c r="Y443" i="1"/>
  <c r="Z443" i="1" s="1"/>
  <c r="AA443" i="1" s="1"/>
  <c r="Y440" i="1"/>
  <c r="Z440" i="1" s="1"/>
  <c r="AA440" i="1" s="1"/>
  <c r="Y438" i="1"/>
  <c r="Z438" i="1" s="1"/>
  <c r="AA438" i="1" s="1"/>
  <c r="Y436" i="1"/>
  <c r="Z436" i="1" s="1"/>
  <c r="AA436" i="1" s="1"/>
  <c r="Y387" i="1"/>
  <c r="Z387" i="1" s="1"/>
  <c r="AA387" i="1" s="1"/>
  <c r="Y383" i="1"/>
  <c r="Z383" i="1" s="1"/>
  <c r="AA383" i="1" s="1"/>
  <c r="Z378" i="1"/>
  <c r="AA378" i="1" s="1"/>
  <c r="Y377" i="1"/>
  <c r="Z377" i="1" s="1"/>
  <c r="AA377" i="1" s="1"/>
  <c r="Y373" i="1"/>
  <c r="Z373" i="1" s="1"/>
  <c r="AA373" i="1" s="1"/>
  <c r="Y372" i="1"/>
  <c r="Z372" i="1" s="1"/>
  <c r="AA372" i="1" s="1"/>
  <c r="Y371" i="1"/>
  <c r="Z371" i="1" s="1"/>
  <c r="AA371" i="1" s="1"/>
  <c r="Y367" i="1"/>
  <c r="Z367" i="1" s="1"/>
  <c r="AA367" i="1" s="1"/>
  <c r="Y366" i="1"/>
  <c r="Z366" i="1" s="1"/>
  <c r="AA366" i="1" s="1"/>
  <c r="Y364" i="1"/>
  <c r="Z364" i="1" s="1"/>
  <c r="AA364" i="1" s="1"/>
  <c r="Y362" i="1"/>
  <c r="Z362" i="1" s="1"/>
  <c r="AA362" i="1" s="1"/>
  <c r="Y359" i="1"/>
  <c r="Z359" i="1" s="1"/>
  <c r="AA359" i="1" s="1"/>
  <c r="Y357" i="1"/>
  <c r="Z357" i="1" s="1"/>
  <c r="AA357" i="1" s="1"/>
  <c r="Y355" i="1"/>
  <c r="Z355" i="1" s="1"/>
  <c r="AA355" i="1" s="1"/>
  <c r="Y351" i="1"/>
  <c r="Z351" i="1" s="1"/>
  <c r="AA351" i="1" s="1"/>
  <c r="Y348" i="1"/>
  <c r="Z348" i="1" s="1"/>
  <c r="AA348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490" i="1"/>
  <c r="AI490" i="1" s="1"/>
  <c r="D490" i="1"/>
  <c r="AF490" i="1" l="1"/>
  <c r="AC490" i="1" l="1"/>
  <c r="AB490" i="1"/>
  <c r="B467" i="1" l="1"/>
  <c r="C467" i="1" s="1"/>
  <c r="B463" i="1"/>
  <c r="C463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58" i="1"/>
  <c r="AG458" i="1"/>
  <c r="AI458" i="1" s="1"/>
  <c r="AG499" i="1"/>
  <c r="AI499" i="1" s="1"/>
  <c r="D499" i="1"/>
  <c r="AG504" i="1"/>
  <c r="AI504" i="1" s="1"/>
  <c r="D504" i="1"/>
  <c r="AG588" i="1"/>
  <c r="AI588" i="1" s="1"/>
  <c r="D588" i="1"/>
  <c r="D619" i="1"/>
  <c r="AG619" i="1"/>
  <c r="AI619" i="1" s="1"/>
  <c r="AG626" i="1"/>
  <c r="AI626" i="1" s="1"/>
  <c r="D626" i="1"/>
  <c r="AG641" i="1"/>
  <c r="AI641" i="1" s="1"/>
  <c r="D641" i="1"/>
  <c r="AG657" i="1"/>
  <c r="AI657" i="1" s="1"/>
  <c r="D657" i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7" i="1"/>
  <c r="AF641" i="1"/>
  <c r="AF626" i="1"/>
  <c r="AF619" i="1"/>
  <c r="AF588" i="1"/>
  <c r="AF504" i="1"/>
  <c r="AF499" i="1"/>
  <c r="AF458" i="1"/>
  <c r="AF255" i="1"/>
  <c r="AF283" i="1"/>
  <c r="AF202" i="1"/>
  <c r="AF101" i="1"/>
  <c r="AF76" i="1"/>
  <c r="AF65" i="1"/>
  <c r="AF8" i="1"/>
  <c r="A3" i="1"/>
  <c r="AF808" i="1" l="1"/>
  <c r="AG3" i="1"/>
  <c r="A4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40" i="4"/>
  <c r="A41" i="4"/>
  <c r="A37" i="5"/>
  <c r="A7" i="7"/>
  <c r="A20" i="7"/>
  <c r="A8" i="8"/>
  <c r="A14" i="9"/>
  <c r="A14" i="7"/>
  <c r="A20" i="6"/>
  <c r="A17" i="7"/>
  <c r="A24" i="8"/>
  <c r="A19" i="9"/>
  <c r="A25" i="7"/>
  <c r="A15" i="6"/>
  <c r="A46" i="4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47" i="4"/>
  <c r="A11" i="8"/>
  <c r="A40" i="5"/>
  <c r="A48" i="4"/>
  <c r="A26" i="7"/>
  <c r="A19" i="8"/>
  <c r="A22" i="9"/>
  <c r="A30" i="7"/>
  <c r="A43" i="4"/>
  <c r="A14" i="6"/>
  <c r="A15" i="7"/>
  <c r="A43" i="5"/>
  <c r="A13" i="9"/>
  <c r="A49" i="4"/>
  <c r="A11" i="9"/>
  <c r="A52" i="4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42" i="4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44" i="4"/>
  <c r="A23" i="9"/>
  <c r="A39" i="5"/>
  <c r="A45" i="4"/>
  <c r="A7" i="8"/>
  <c r="A13" i="6"/>
  <c r="A18" i="7"/>
  <c r="A10" i="7"/>
  <c r="A51" i="4"/>
  <c r="A7" i="6"/>
  <c r="A34" i="5"/>
  <c r="A45" i="5"/>
  <c r="A50" i="4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G4" i="1"/>
  <c r="AF3" i="1"/>
  <c r="D4" i="1"/>
  <c r="A5" i="1"/>
  <c r="AI4" i="1" l="1"/>
  <c r="AH5" i="1"/>
  <c r="D813" i="1"/>
  <c r="A6" i="1"/>
  <c r="AG5" i="1"/>
  <c r="AF4" i="1"/>
  <c r="D5" i="1"/>
  <c r="AI5" i="1" l="1"/>
  <c r="AH6" i="1"/>
  <c r="AG813" i="1"/>
  <c r="AI813" i="1" s="1"/>
  <c r="A7" i="1"/>
  <c r="AG6" i="1"/>
  <c r="D6" i="1"/>
  <c r="AF5" i="1"/>
  <c r="AI6" i="1" l="1"/>
  <c r="AH7" i="1"/>
  <c r="AB619" i="1"/>
  <c r="AC101" i="1"/>
  <c r="AB76" i="1"/>
  <c r="AC711" i="1"/>
  <c r="AC588" i="1"/>
  <c r="AB13" i="1"/>
  <c r="AB751" i="1"/>
  <c r="AB813" i="1"/>
  <c r="AC719" i="1"/>
  <c r="AC672" i="1"/>
  <c r="AC202" i="1"/>
  <c r="AC796" i="1"/>
  <c r="AC641" i="1"/>
  <c r="AB702" i="1"/>
  <c r="AB808" i="1"/>
  <c r="AB202" i="1"/>
  <c r="AC283" i="1"/>
  <c r="AB499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C626" i="1"/>
  <c r="AB65" i="1"/>
  <c r="AC717" i="1"/>
  <c r="AB657" i="1"/>
  <c r="AC737" i="1"/>
  <c r="AF813" i="1"/>
  <c r="AB458" i="1"/>
  <c r="AB283" i="1"/>
  <c r="AC691" i="1"/>
  <c r="AC298" i="1"/>
  <c r="AC759" i="1"/>
  <c r="AC458" i="1"/>
  <c r="AB641" i="1"/>
  <c r="AC709" i="1"/>
  <c r="AC770" i="1"/>
  <c r="AB674" i="1"/>
  <c r="AC319" i="1"/>
  <c r="AB764" i="1"/>
  <c r="AB735" i="1"/>
  <c r="AC724" i="1"/>
  <c r="AB711" i="1"/>
  <c r="AC13" i="1"/>
  <c r="AC499" i="1"/>
  <c r="AB709" i="1"/>
  <c r="AB768" i="1"/>
  <c r="AC619" i="1"/>
  <c r="AC808" i="1"/>
  <c r="AB668" i="1"/>
  <c r="AB796" i="1"/>
  <c r="AC657" i="1"/>
  <c r="AC317" i="1"/>
  <c r="AB717" i="1"/>
  <c r="AC726" i="1"/>
  <c r="AC733" i="1"/>
  <c r="AC255" i="1"/>
  <c r="AB101" i="1"/>
  <c r="AB319" i="1"/>
  <c r="AB742" i="1"/>
  <c r="AC713" i="1"/>
  <c r="AC504" i="1"/>
  <c r="AC764" i="1"/>
  <c r="AB759" i="1"/>
  <c r="AB626" i="1"/>
  <c r="AB722" i="1"/>
  <c r="AB770" i="1"/>
  <c r="AB298" i="1"/>
  <c r="AC668" i="1"/>
  <c r="AB724" i="1"/>
  <c r="AB317" i="1"/>
  <c r="AC751" i="1"/>
  <c r="AC8" i="1"/>
  <c r="AC730" i="1"/>
  <c r="AC687" i="1"/>
  <c r="AB588" i="1"/>
  <c r="AB698" i="1"/>
  <c r="AC742" i="1"/>
  <c r="AB687" i="1"/>
  <c r="AB726" i="1"/>
  <c r="AB504" i="1"/>
  <c r="AB235" i="1"/>
  <c r="AG7" i="1"/>
  <c r="A8" i="1"/>
  <c r="D7" i="1"/>
  <c r="AF6" i="1"/>
  <c r="AI7" i="1" l="1"/>
  <c r="AH8" i="1"/>
  <c r="B813" i="1"/>
  <c r="C813" i="1" s="1"/>
  <c r="AF7" i="1"/>
  <c r="A9" i="1"/>
  <c r="D9" i="1"/>
  <c r="AG15" i="1" l="1"/>
  <c r="AI15" i="1" s="1"/>
  <c r="D15" i="1"/>
  <c r="AG9" i="1"/>
  <c r="AF9" i="1"/>
  <c r="A10" i="1"/>
  <c r="D10" i="1"/>
  <c r="AG10" i="1"/>
  <c r="A11" i="1"/>
  <c r="D11" i="1"/>
  <c r="AG11" i="1"/>
  <c r="A12" i="1"/>
  <c r="AG12" i="1"/>
  <c r="D12" i="1"/>
  <c r="A13" i="1"/>
  <c r="AI10" i="1" l="1"/>
  <c r="AI11" i="1" s="1"/>
  <c r="AI12" i="1" s="1"/>
  <c r="AH13" i="1"/>
  <c r="AH12" i="1"/>
  <c r="B12" i="1" s="1"/>
  <c r="C12" i="1" s="1"/>
  <c r="AH11" i="1"/>
  <c r="AH10" i="1"/>
  <c r="B10" i="1" s="1"/>
  <c r="C10" i="1" s="1"/>
  <c r="AF15" i="1"/>
  <c r="A14" i="1"/>
  <c r="D14" i="1"/>
  <c r="AF12" i="1"/>
  <c r="A15" i="1"/>
  <c r="AF10" i="1"/>
  <c r="AF11" i="1"/>
  <c r="AG14" i="1"/>
  <c r="A16" i="1"/>
  <c r="AG16" i="1"/>
  <c r="A17" i="1"/>
  <c r="D16" i="1"/>
  <c r="AH15" i="1" l="1"/>
  <c r="AG17" i="1"/>
  <c r="D17" i="1"/>
  <c r="A18" i="1"/>
  <c r="AF16" i="1"/>
  <c r="AF14" i="1"/>
  <c r="AI17" i="1" l="1"/>
  <c r="AH18" i="1"/>
  <c r="D20" i="1"/>
  <c r="AG20" i="1"/>
  <c r="AI20" i="1" s="1"/>
  <c r="A19" i="1"/>
  <c r="AG19" i="1"/>
  <c r="A20" i="1"/>
  <c r="D19" i="1"/>
  <c r="AF17" i="1"/>
  <c r="D18" i="1"/>
  <c r="AG18" i="1"/>
  <c r="AI18" i="1" l="1"/>
  <c r="AI19" i="1" s="1"/>
  <c r="AH19" i="1"/>
  <c r="AH20" i="1"/>
  <c r="AF20" i="1"/>
  <c r="A21" i="1"/>
  <c r="AF19" i="1"/>
  <c r="AF18" i="1"/>
  <c r="AG24" i="1" l="1"/>
  <c r="AI24" i="1" s="1"/>
  <c r="D24" i="1"/>
  <c r="AG34" i="1"/>
  <c r="AI34" i="1" s="1"/>
  <c r="D21" i="1"/>
  <c r="AG21" i="1"/>
  <c r="A22" i="1"/>
  <c r="D22" i="1"/>
  <c r="AG22" i="1"/>
  <c r="A23" i="1"/>
  <c r="AG23" i="1"/>
  <c r="D23" i="1"/>
  <c r="AI22" i="1" l="1"/>
  <c r="AI23" i="1" s="1"/>
  <c r="AH22" i="1"/>
  <c r="AH23" i="1"/>
  <c r="D34" i="1"/>
  <c r="AF24" i="1"/>
  <c r="A24" i="1"/>
  <c r="AF23" i="1"/>
  <c r="AF21" i="1"/>
  <c r="A25" i="1"/>
  <c r="AG25" i="1" s="1"/>
  <c r="AF22" i="1"/>
  <c r="A26" i="1"/>
  <c r="AH24" i="1" l="1"/>
  <c r="B24" i="1" s="1"/>
  <c r="C24" i="1" s="1"/>
  <c r="AH26" i="1"/>
  <c r="AF34" i="1"/>
  <c r="D38" i="1"/>
  <c r="A27" i="1"/>
  <c r="D25" i="1"/>
  <c r="AG38" i="1" l="1"/>
  <c r="AI38" i="1" s="1"/>
  <c r="AF38" i="1"/>
  <c r="D27" i="1"/>
  <c r="AF25" i="1"/>
  <c r="A28" i="1"/>
  <c r="A29" i="1" s="1"/>
  <c r="AG27" i="1"/>
  <c r="AG29" i="1"/>
  <c r="AH28" i="1" l="1"/>
  <c r="AG40" i="1"/>
  <c r="AI40" i="1" s="1"/>
  <c r="D40" i="1"/>
  <c r="AF27" i="1"/>
  <c r="A30" i="1"/>
  <c r="D29" i="1"/>
  <c r="D30" i="1"/>
  <c r="A31" i="1"/>
  <c r="AG30" i="1"/>
  <c r="AH30" i="1" l="1"/>
  <c r="AI30" i="1"/>
  <c r="AH31" i="1"/>
  <c r="AF40" i="1"/>
  <c r="AG31" i="1"/>
  <c r="AF29" i="1"/>
  <c r="A32" i="1"/>
  <c r="A33" i="1" s="1"/>
  <c r="AF30" i="1"/>
  <c r="D31" i="1"/>
  <c r="AI31" i="1" l="1"/>
  <c r="AH32" i="1"/>
  <c r="AG45" i="1"/>
  <c r="AI45" i="1" s="1"/>
  <c r="D45" i="1"/>
  <c r="A34" i="1"/>
  <c r="AF31" i="1"/>
  <c r="A35" i="1"/>
  <c r="D33" i="1"/>
  <c r="AG33" i="1"/>
  <c r="AF45" i="1" l="1"/>
  <c r="D35" i="1"/>
  <c r="AG35" i="1"/>
  <c r="A36" i="1"/>
  <c r="AG36" i="1"/>
  <c r="AF33" i="1"/>
  <c r="AI36" i="1" l="1"/>
  <c r="AF35" i="1"/>
  <c r="D36" i="1"/>
  <c r="A37" i="1"/>
  <c r="A38" i="1"/>
  <c r="D37" i="1"/>
  <c r="AH37" i="1" l="1"/>
  <c r="AG51" i="1"/>
  <c r="AI51" i="1" s="1"/>
  <c r="D51" i="1"/>
  <c r="AG37" i="1"/>
  <c r="A39" i="1"/>
  <c r="AF36" i="1"/>
  <c r="A40" i="1"/>
  <c r="AF37" i="1"/>
  <c r="D39" i="1"/>
  <c r="AG39" i="1"/>
  <c r="A41" i="1"/>
  <c r="A42" i="1"/>
  <c r="A43" i="1" s="1"/>
  <c r="AG42" i="1"/>
  <c r="D42" i="1"/>
  <c r="AG41" i="1"/>
  <c r="D41" i="1"/>
  <c r="AI37" i="1" l="1"/>
  <c r="AI42" i="1"/>
  <c r="AH42" i="1"/>
  <c r="AF51" i="1"/>
  <c r="AF39" i="1"/>
  <c r="AG43" i="1"/>
  <c r="AF42" i="1"/>
  <c r="D43" i="1"/>
  <c r="A44" i="1"/>
  <c r="AF41" i="1"/>
  <c r="D44" i="1"/>
  <c r="AI43" i="1" l="1"/>
  <c r="AH44" i="1"/>
  <c r="AG44" i="1"/>
  <c r="A45" i="1"/>
  <c r="A46" i="1"/>
  <c r="AF44" i="1"/>
  <c r="AF43" i="1"/>
  <c r="AI44" i="1" l="1"/>
  <c r="A47" i="1"/>
  <c r="AG46" i="1"/>
  <c r="D46" i="1"/>
  <c r="A48" i="1"/>
  <c r="D47" i="1"/>
  <c r="A49" i="1"/>
  <c r="AG47" i="1"/>
  <c r="AG48" i="1"/>
  <c r="D48" i="1"/>
  <c r="AH47" i="1" l="1"/>
  <c r="AI47" i="1"/>
  <c r="AI48" i="1" s="1"/>
  <c r="AH49" i="1"/>
  <c r="A50" i="1"/>
  <c r="D50" i="1"/>
  <c r="AF46" i="1"/>
  <c r="D49" i="1"/>
  <c r="AG50" i="1"/>
  <c r="AG49" i="1"/>
  <c r="AF47" i="1"/>
  <c r="A51" i="1"/>
  <c r="AF48" i="1"/>
  <c r="AI49" i="1" l="1"/>
  <c r="AI50" i="1" s="1"/>
  <c r="AH51" i="1"/>
  <c r="AH45" i="1"/>
  <c r="B45" i="1" s="1"/>
  <c r="C45" i="1" s="1"/>
  <c r="AB45" i="1"/>
  <c r="AC45" i="1"/>
  <c r="AF50" i="1"/>
  <c r="AF49" i="1"/>
  <c r="A52" i="1"/>
  <c r="D58" i="1" l="1"/>
  <c r="AG58" i="1"/>
  <c r="AI58" i="1" s="1"/>
  <c r="A53" i="1"/>
  <c r="D52" i="1"/>
  <c r="D53" i="1"/>
  <c r="AG53" i="1"/>
  <c r="A54" i="1"/>
  <c r="AG52" i="1"/>
  <c r="D54" i="1"/>
  <c r="AG54" i="1"/>
  <c r="A55" i="1"/>
  <c r="AG55" i="1"/>
  <c r="D55" i="1"/>
  <c r="AI53" i="1" l="1"/>
  <c r="AI54" i="1" s="1"/>
  <c r="AI55" i="1" s="1"/>
  <c r="AH53" i="1"/>
  <c r="AH55" i="1"/>
  <c r="AF58" i="1"/>
  <c r="A56" i="1"/>
  <c r="D56" i="1"/>
  <c r="AG56" i="1"/>
  <c r="AF53" i="1"/>
  <c r="AF55" i="1"/>
  <c r="AF52" i="1"/>
  <c r="A57" i="1"/>
  <c r="A58" i="1" s="1"/>
  <c r="AF54" i="1"/>
  <c r="D57" i="1"/>
  <c r="AG57" i="1"/>
  <c r="AI56" i="1" l="1"/>
  <c r="AI57" i="1" s="1"/>
  <c r="AH57" i="1"/>
  <c r="D115" i="1"/>
  <c r="AG115" i="1"/>
  <c r="AI115" i="1" s="1"/>
  <c r="D61" i="1"/>
  <c r="AG61" i="1"/>
  <c r="AI61" i="1" s="1"/>
  <c r="AF56" i="1"/>
  <c r="A59" i="1"/>
  <c r="AF57" i="1"/>
  <c r="D59" i="1"/>
  <c r="AG59" i="1"/>
  <c r="A60" i="1"/>
  <c r="AG60" i="1"/>
  <c r="D60" i="1"/>
  <c r="AI60" i="1" l="1"/>
  <c r="AF115" i="1"/>
  <c r="AF61" i="1"/>
  <c r="A61" i="1"/>
  <c r="AF60" i="1"/>
  <c r="AF59" i="1"/>
  <c r="AH61" i="1" l="1"/>
  <c r="AH60" i="1"/>
  <c r="B60" i="1" s="1"/>
  <c r="C60" i="1" s="1"/>
  <c r="A62" i="1"/>
  <c r="A63" i="1"/>
  <c r="D62" i="1"/>
  <c r="AG62" i="1"/>
  <c r="AH63" i="1" l="1"/>
  <c r="B63" i="1" s="1"/>
  <c r="C63" i="1" s="1"/>
  <c r="D80" i="1"/>
  <c r="AG80" i="1"/>
  <c r="AI80" i="1" s="1"/>
  <c r="AF62" i="1"/>
  <c r="A64" i="1"/>
  <c r="D64" i="1"/>
  <c r="A65" i="1"/>
  <c r="D63" i="1"/>
  <c r="AG63" i="1"/>
  <c r="AG64" i="1"/>
  <c r="AI63" i="1" l="1"/>
  <c r="AI64" i="1" s="1"/>
  <c r="AH65" i="1"/>
  <c r="B65" i="1" s="1"/>
  <c r="C65" i="1" s="1"/>
  <c r="AF80" i="1"/>
  <c r="D82" i="1"/>
  <c r="AF63" i="1"/>
  <c r="A66" i="1"/>
  <c r="AG66" i="1" s="1"/>
  <c r="AF64" i="1"/>
  <c r="D66" i="1"/>
  <c r="AG82" i="1" l="1"/>
  <c r="AI82" i="1" s="1"/>
  <c r="AF82" i="1"/>
  <c r="AF66" i="1"/>
  <c r="A67" i="1"/>
  <c r="A68" i="1"/>
  <c r="D68" i="1"/>
  <c r="A69" i="1"/>
  <c r="AG69" i="1"/>
  <c r="A70" i="1"/>
  <c r="D70" i="1" s="1"/>
  <c r="AG70" i="1"/>
  <c r="D69" i="1"/>
  <c r="AG68" i="1"/>
  <c r="D67" i="1"/>
  <c r="AG67" i="1"/>
  <c r="AH69" i="1" l="1"/>
  <c r="AH68" i="1"/>
  <c r="AI67" i="1"/>
  <c r="AI68" i="1" s="1"/>
  <c r="AI69" i="1" s="1"/>
  <c r="AI70" i="1" s="1"/>
  <c r="AH67" i="1"/>
  <c r="B67" i="1" s="1"/>
  <c r="C67" i="1" s="1"/>
  <c r="AH70" i="1"/>
  <c r="AF67" i="1"/>
  <c r="AF70" i="1"/>
  <c r="A71" i="1"/>
  <c r="AF68" i="1"/>
  <c r="A72" i="1"/>
  <c r="A73" i="1"/>
  <c r="AF69" i="1"/>
  <c r="AG72" i="1"/>
  <c r="D72" i="1"/>
  <c r="AG71" i="1"/>
  <c r="D71" i="1"/>
  <c r="AH71" i="1" l="1"/>
  <c r="AI71" i="1"/>
  <c r="AI72" i="1" s="1"/>
  <c r="AH72" i="1"/>
  <c r="AH73" i="1"/>
  <c r="D73" i="1"/>
  <c r="AF71" i="1"/>
  <c r="AF72" i="1"/>
  <c r="AG73" i="1"/>
  <c r="A74" i="1"/>
  <c r="D74" i="1"/>
  <c r="AG74" i="1"/>
  <c r="A75" i="1"/>
  <c r="D75" i="1"/>
  <c r="AG75" i="1"/>
  <c r="A76" i="1"/>
  <c r="AI73" i="1" l="1"/>
  <c r="AI74" i="1" s="1"/>
  <c r="AI75" i="1" s="1"/>
  <c r="AH74" i="1"/>
  <c r="AH76" i="1"/>
  <c r="AH75" i="1"/>
  <c r="B75" i="1" s="1"/>
  <c r="C75" i="1" s="1"/>
  <c r="AG89" i="1"/>
  <c r="AI89" i="1" s="1"/>
  <c r="D89" i="1"/>
  <c r="AF74" i="1"/>
  <c r="A77" i="1"/>
  <c r="D77" i="1"/>
  <c r="AF75" i="1"/>
  <c r="AF73" i="1"/>
  <c r="A78" i="1"/>
  <c r="AH78" i="1" l="1"/>
  <c r="AF89" i="1"/>
  <c r="D78" i="1"/>
  <c r="AG77" i="1"/>
  <c r="AG78" i="1"/>
  <c r="A79" i="1"/>
  <c r="AF77" i="1"/>
  <c r="D79" i="1"/>
  <c r="A80" i="1"/>
  <c r="AI78" i="1" l="1"/>
  <c r="AH79" i="1"/>
  <c r="AH80" i="1"/>
  <c r="AF78" i="1"/>
  <c r="A81" i="1"/>
  <c r="A82" i="1"/>
  <c r="AG81" i="1"/>
  <c r="A83" i="1"/>
  <c r="D83" i="1"/>
  <c r="AG83" i="1"/>
  <c r="AF79" i="1"/>
  <c r="AG79" i="1"/>
  <c r="D81" i="1"/>
  <c r="A84" i="1"/>
  <c r="AG84" i="1"/>
  <c r="D84" i="1"/>
  <c r="AI79" i="1" l="1"/>
  <c r="AI84" i="1"/>
  <c r="AH82" i="1"/>
  <c r="AH84" i="1"/>
  <c r="A85" i="1"/>
  <c r="AG85" i="1"/>
  <c r="AF81" i="1"/>
  <c r="AF84" i="1"/>
  <c r="A86" i="1"/>
  <c r="D85" i="1"/>
  <c r="AF83" i="1"/>
  <c r="AH85" i="1" l="1"/>
  <c r="AI85" i="1"/>
  <c r="AH86" i="1"/>
  <c r="B86" i="1" s="1"/>
  <c r="C86" i="1" s="1"/>
  <c r="AG95" i="1"/>
  <c r="AI95" i="1" s="1"/>
  <c r="D95" i="1"/>
  <c r="AG86" i="1"/>
  <c r="A87" i="1"/>
  <c r="D86" i="1"/>
  <c r="AF85" i="1"/>
  <c r="A88" i="1"/>
  <c r="AI86" i="1" l="1"/>
  <c r="AH87" i="1"/>
  <c r="AH88" i="1"/>
  <c r="AF95" i="1"/>
  <c r="D87" i="1"/>
  <c r="A89" i="1"/>
  <c r="D88" i="1"/>
  <c r="AG87" i="1"/>
  <c r="AF86" i="1"/>
  <c r="AG88" i="1"/>
  <c r="AI87" i="1" l="1"/>
  <c r="AI88" i="1" s="1"/>
  <c r="AC115" i="1"/>
  <c r="AB115" i="1"/>
  <c r="D104" i="1"/>
  <c r="AG104" i="1"/>
  <c r="AI104" i="1" s="1"/>
  <c r="AG106" i="1"/>
  <c r="AI106" i="1" s="1"/>
  <c r="D106" i="1"/>
  <c r="AF87" i="1"/>
  <c r="A90" i="1"/>
  <c r="A91" i="1"/>
  <c r="AF88" i="1"/>
  <c r="AH91" i="1" l="1"/>
  <c r="AF106" i="1"/>
  <c r="AF104" i="1"/>
  <c r="D90" i="1"/>
  <c r="D91" i="1"/>
  <c r="A92" i="1"/>
  <c r="AG91" i="1"/>
  <c r="AG90" i="1"/>
  <c r="A93" i="1"/>
  <c r="D92" i="1"/>
  <c r="AI91" i="1" l="1"/>
  <c r="AH92" i="1"/>
  <c r="A3" i="10"/>
  <c r="D93" i="1"/>
  <c r="AF92" i="1"/>
  <c r="A94" i="1"/>
  <c r="A95" i="1"/>
  <c r="AG94" i="1"/>
  <c r="AF91" i="1"/>
  <c r="AG92" i="1"/>
  <c r="AF90" i="1"/>
  <c r="AG93" i="1"/>
  <c r="D94" i="1"/>
  <c r="AI92" i="1" l="1"/>
  <c r="AI93" i="1" s="1"/>
  <c r="AI94" i="1" s="1"/>
  <c r="AH94" i="1"/>
  <c r="A4" i="10"/>
  <c r="B3" i="10"/>
  <c r="F3" i="10"/>
  <c r="D3" i="10"/>
  <c r="C3" i="10"/>
  <c r="I3" i="10"/>
  <c r="E3" i="10"/>
  <c r="G3" i="10"/>
  <c r="H3" i="10"/>
  <c r="AF93" i="1"/>
  <c r="AF94" i="1"/>
  <c r="A96" i="1"/>
  <c r="AG96" i="1"/>
  <c r="A97" i="1"/>
  <c r="D96" i="1"/>
  <c r="D97" i="1"/>
  <c r="AG97" i="1"/>
  <c r="AI97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F96" i="1"/>
  <c r="A98" i="1"/>
  <c r="A99" i="1"/>
  <c r="AF97" i="1"/>
  <c r="AH99" i="1" l="1"/>
  <c r="AH98" i="1"/>
  <c r="B98" i="1" s="1"/>
  <c r="C98" i="1" s="1"/>
  <c r="J4" i="10"/>
  <c r="K4" i="10" s="1"/>
  <c r="L4" i="10" s="1"/>
  <c r="AF117" i="1"/>
  <c r="D99" i="1"/>
  <c r="A100" i="1"/>
  <c r="D98" i="1"/>
  <c r="AG99" i="1"/>
  <c r="AG98" i="1"/>
  <c r="AI98" i="1" l="1"/>
  <c r="AI99" i="1" s="1"/>
  <c r="AH100" i="1"/>
  <c r="D122" i="1"/>
  <c r="AG122" i="1"/>
  <c r="AI122" i="1" s="1"/>
  <c r="A101" i="1"/>
  <c r="AF99" i="1"/>
  <c r="A102" i="1"/>
  <c r="A103" i="1"/>
  <c r="A104" i="1"/>
  <c r="AG100" i="1"/>
  <c r="D103" i="1"/>
  <c r="AF98" i="1"/>
  <c r="D100" i="1"/>
  <c r="AG102" i="1"/>
  <c r="AG103" i="1"/>
  <c r="D102" i="1"/>
  <c r="AH101" i="1" l="1"/>
  <c r="B101" i="1" s="1"/>
  <c r="C101" i="1" s="1"/>
  <c r="AI103" i="1"/>
  <c r="AI100" i="1"/>
  <c r="AH104" i="1"/>
  <c r="AH103" i="1"/>
  <c r="AF122" i="1"/>
  <c r="AF102" i="1"/>
  <c r="AF100" i="1"/>
  <c r="AF103" i="1"/>
  <c r="A105" i="1"/>
  <c r="A106" i="1" s="1"/>
  <c r="AG105" i="1"/>
  <c r="D135" i="1" l="1"/>
  <c r="AG135" i="1"/>
  <c r="AI135" i="1" s="1"/>
  <c r="D105" i="1"/>
  <c r="A107" i="1"/>
  <c r="A108" i="1"/>
  <c r="A109" i="1" s="1"/>
  <c r="D108" i="1"/>
  <c r="AG109" i="1"/>
  <c r="D109" i="1"/>
  <c r="AG108" i="1"/>
  <c r="D107" i="1"/>
  <c r="AI108" i="1" l="1"/>
  <c r="AI109" i="1" s="1"/>
  <c r="AH109" i="1"/>
  <c r="AH108" i="1"/>
  <c r="AF135" i="1"/>
  <c r="AG107" i="1"/>
  <c r="AF107" i="1"/>
  <c r="AF109" i="1"/>
  <c r="A110" i="1"/>
  <c r="AF108" i="1"/>
  <c r="AF105" i="1"/>
  <c r="A111" i="1"/>
  <c r="D111" i="1"/>
  <c r="AG111" i="1"/>
  <c r="A112" i="1"/>
  <c r="AH110" i="1" l="1"/>
  <c r="AH112" i="1"/>
  <c r="AF111" i="1"/>
  <c r="A113" i="1"/>
  <c r="D113" i="1"/>
  <c r="AG113" i="1"/>
  <c r="A114" i="1"/>
  <c r="D114" i="1"/>
  <c r="AG114" i="1"/>
  <c r="AI114" i="1" l="1"/>
  <c r="AH114" i="1"/>
  <c r="B38" i="4"/>
  <c r="AF114" i="1"/>
  <c r="A115" i="1"/>
  <c r="AF113" i="1"/>
  <c r="AH115" i="1" l="1"/>
  <c r="G38" i="4"/>
  <c r="F38" i="4"/>
  <c r="E38" i="4"/>
  <c r="I38" i="4"/>
  <c r="B39" i="4"/>
  <c r="D38" i="4"/>
  <c r="C38" i="4"/>
  <c r="J38" i="4"/>
  <c r="H38" i="4"/>
  <c r="A116" i="1"/>
  <c r="A117" i="1"/>
  <c r="AG116" i="1"/>
  <c r="D116" i="1"/>
  <c r="AH117" i="1" l="1"/>
  <c r="A38" i="4"/>
  <c r="I39" i="4"/>
  <c r="D39" i="4"/>
  <c r="E39" i="4"/>
  <c r="C39" i="4"/>
  <c r="G39" i="4"/>
  <c r="F39" i="4"/>
  <c r="H39" i="4"/>
  <c r="J39" i="4"/>
  <c r="K38" i="4"/>
  <c r="L38" i="4" s="1"/>
  <c r="M38" i="4" s="1"/>
  <c r="D143" i="1"/>
  <c r="AG143" i="1"/>
  <c r="AI143" i="1" s="1"/>
  <c r="A118" i="1"/>
  <c r="A119" i="1"/>
  <c r="AF116" i="1"/>
  <c r="AG118" i="1"/>
  <c r="AH119" i="1" l="1"/>
  <c r="K39" i="4"/>
  <c r="L39" i="4" s="1"/>
  <c r="M39" i="4" s="1"/>
  <c r="A39" i="4"/>
  <c r="AF143" i="1"/>
  <c r="D118" i="1"/>
  <c r="A120" i="1"/>
  <c r="A121" i="1"/>
  <c r="AG120" i="1"/>
  <c r="D121" i="1"/>
  <c r="A122" i="1"/>
  <c r="AG121" i="1"/>
  <c r="A123" i="1"/>
  <c r="D123" i="1"/>
  <c r="AG123" i="1"/>
  <c r="AI121" i="1" l="1"/>
  <c r="AH121" i="1"/>
  <c r="D146" i="1"/>
  <c r="AG146" i="1"/>
  <c r="AI146" i="1" s="1"/>
  <c r="D120" i="1"/>
  <c r="AF121" i="1"/>
  <c r="AF118" i="1"/>
  <c r="AF123" i="1"/>
  <c r="A124" i="1"/>
  <c r="D124" i="1"/>
  <c r="A125" i="1"/>
  <c r="AG125" i="1" s="1"/>
  <c r="AG124" i="1"/>
  <c r="AH125" i="1" l="1"/>
  <c r="AI124" i="1"/>
  <c r="AI125" i="1" s="1"/>
  <c r="AH124" i="1"/>
  <c r="AF146" i="1"/>
  <c r="AF120" i="1"/>
  <c r="A126" i="1"/>
  <c r="D126" i="1"/>
  <c r="A127" i="1"/>
  <c r="AG127" i="1"/>
  <c r="D125" i="1"/>
  <c r="AF124" i="1"/>
  <c r="AG126" i="1"/>
  <c r="AH127" i="1" l="1"/>
  <c r="AH126" i="1"/>
  <c r="AI126" i="1"/>
  <c r="AI127" i="1" s="1"/>
  <c r="AF125" i="1"/>
  <c r="D127" i="1"/>
  <c r="A128" i="1"/>
  <c r="AF126" i="1"/>
  <c r="AG128" i="1"/>
  <c r="A129" i="1"/>
  <c r="AH129" i="1" l="1"/>
  <c r="AI128" i="1"/>
  <c r="D128" i="1"/>
  <c r="A130" i="1"/>
  <c r="AG130" i="1"/>
  <c r="AF127" i="1"/>
  <c r="AG152" i="1" l="1"/>
  <c r="AI152" i="1" s="1"/>
  <c r="D152" i="1"/>
  <c r="D130" i="1"/>
  <c r="AF128" i="1"/>
  <c r="A131" i="1"/>
  <c r="D131" i="1"/>
  <c r="A132" i="1"/>
  <c r="AG132" i="1"/>
  <c r="D132" i="1"/>
  <c r="AH132" i="1" l="1"/>
  <c r="AH131" i="1"/>
  <c r="AG154" i="1"/>
  <c r="AI154" i="1" s="1"/>
  <c r="AF152" i="1"/>
  <c r="D154" i="1"/>
  <c r="AG131" i="1"/>
  <c r="AF132" i="1"/>
  <c r="A133" i="1"/>
  <c r="AG133" i="1"/>
  <c r="AF130" i="1"/>
  <c r="AF131" i="1"/>
  <c r="D133" i="1"/>
  <c r="A134" i="1"/>
  <c r="D134" i="1"/>
  <c r="AG134" i="1"/>
  <c r="AI131" i="1" l="1"/>
  <c r="AI132" i="1" s="1"/>
  <c r="AI133" i="1" s="1"/>
  <c r="AI134" i="1" s="1"/>
  <c r="AH133" i="1"/>
  <c r="AF154" i="1"/>
  <c r="AF134" i="1"/>
  <c r="A135" i="1"/>
  <c r="AF133" i="1"/>
  <c r="A136" i="1"/>
  <c r="D136" i="1" s="1"/>
  <c r="AG136" i="1"/>
  <c r="AH135" i="1" l="1"/>
  <c r="B135" i="1" s="1"/>
  <c r="C135" i="1" s="1"/>
  <c r="D157" i="1"/>
  <c r="AG157" i="1"/>
  <c r="AI157" i="1" s="1"/>
  <c r="AG159" i="1"/>
  <c r="AI159" i="1" s="1"/>
  <c r="D159" i="1"/>
  <c r="AF136" i="1"/>
  <c r="A137" i="1"/>
  <c r="A138" i="1"/>
  <c r="D137" i="1"/>
  <c r="AG137" i="1"/>
  <c r="AG138" i="1"/>
  <c r="AH138" i="1" l="1"/>
  <c r="AI137" i="1"/>
  <c r="AI138" i="1" s="1"/>
  <c r="AH137" i="1"/>
  <c r="AF157" i="1"/>
  <c r="D161" i="1"/>
  <c r="AG161" i="1"/>
  <c r="AI161" i="1" s="1"/>
  <c r="D138" i="1"/>
  <c r="AF137" i="1"/>
  <c r="A139" i="1"/>
  <c r="D139" i="1"/>
  <c r="AG139" i="1"/>
  <c r="A140" i="1"/>
  <c r="D140" i="1" s="1"/>
  <c r="AH140" i="1" l="1"/>
  <c r="AH139" i="1"/>
  <c r="AI139" i="1"/>
  <c r="A5" i="11"/>
  <c r="A4" i="11"/>
  <c r="A6" i="11"/>
  <c r="AF161" i="1"/>
  <c r="AF159" i="1"/>
  <c r="AG140" i="1"/>
  <c r="A141" i="1"/>
  <c r="AF139" i="1"/>
  <c r="AG141" i="1"/>
  <c r="AF140" i="1"/>
  <c r="A142" i="1"/>
  <c r="AF138" i="1"/>
  <c r="D141" i="1"/>
  <c r="D142" i="1"/>
  <c r="AG142" i="1"/>
  <c r="AI140" i="1" l="1"/>
  <c r="AI141" i="1" s="1"/>
  <c r="AI142" i="1" s="1"/>
  <c r="AH141" i="1"/>
  <c r="D164" i="1"/>
  <c r="AF164" i="1" s="1"/>
  <c r="AG164" i="1"/>
  <c r="AI164" i="1" s="1"/>
  <c r="AF142" i="1"/>
  <c r="AF141" i="1"/>
  <c r="A143" i="1"/>
  <c r="AH143" i="1" l="1"/>
  <c r="D630" i="1"/>
  <c r="AG630" i="1"/>
  <c r="AI630" i="1" s="1"/>
  <c r="D167" i="1"/>
  <c r="AG167" i="1"/>
  <c r="AI167" i="1" s="1"/>
  <c r="A144" i="1"/>
  <c r="D144" i="1" s="1"/>
  <c r="AG144" i="1"/>
  <c r="A145" i="1"/>
  <c r="A146" i="1"/>
  <c r="A147" i="1" s="1"/>
  <c r="AG145" i="1"/>
  <c r="A148" i="1"/>
  <c r="A149" i="1"/>
  <c r="AG148" i="1"/>
  <c r="D147" i="1"/>
  <c r="AG147" i="1"/>
  <c r="AG149" i="1"/>
  <c r="D149" i="1"/>
  <c r="D148" i="1"/>
  <c r="D145" i="1"/>
  <c r="AH149" i="1" l="1"/>
  <c r="AI148" i="1"/>
  <c r="AI149" i="1" s="1"/>
  <c r="AH148" i="1"/>
  <c r="AH146" i="1"/>
  <c r="AI145" i="1"/>
  <c r="AH145" i="1"/>
  <c r="AF630" i="1"/>
  <c r="AB630" i="1"/>
  <c r="AC630" i="1"/>
  <c r="AF167" i="1"/>
  <c r="A150" i="1"/>
  <c r="AF144" i="1"/>
  <c r="AF147" i="1"/>
  <c r="AF149" i="1"/>
  <c r="AF145" i="1"/>
  <c r="AF148" i="1"/>
  <c r="D150" i="1"/>
  <c r="AG150" i="1"/>
  <c r="A151" i="1"/>
  <c r="D151" i="1"/>
  <c r="AG151" i="1"/>
  <c r="AH151" i="1" l="1"/>
  <c r="AH150" i="1"/>
  <c r="AI150" i="1"/>
  <c r="AI151" i="1" s="1"/>
  <c r="B630" i="1"/>
  <c r="C630" i="1" s="1"/>
  <c r="AF151" i="1"/>
  <c r="A152" i="1"/>
  <c r="AF150" i="1"/>
  <c r="A153" i="1"/>
  <c r="D153" i="1"/>
  <c r="AG153" i="1"/>
  <c r="D176" i="1" l="1"/>
  <c r="AF153" i="1"/>
  <c r="A154" i="1"/>
  <c r="A155" i="1"/>
  <c r="D155" i="1"/>
  <c r="AG155" i="1"/>
  <c r="AG176" i="1" l="1"/>
  <c r="AI176" i="1" s="1"/>
  <c r="AF176" i="1"/>
  <c r="AF155" i="1"/>
  <c r="A156" i="1"/>
  <c r="AG156" i="1"/>
  <c r="D156" i="1"/>
  <c r="A157" i="1"/>
  <c r="AH157" i="1" l="1"/>
  <c r="AI156" i="1"/>
  <c r="A158" i="1"/>
  <c r="AF156" i="1"/>
  <c r="AG158" i="1"/>
  <c r="D158" i="1"/>
  <c r="A159" i="1"/>
  <c r="AH159" i="1" l="1"/>
  <c r="AG183" i="1"/>
  <c r="AI183" i="1" s="1"/>
  <c r="A160" i="1"/>
  <c r="AF158" i="1"/>
  <c r="D160" i="1"/>
  <c r="AG160" i="1"/>
  <c r="A161" i="1"/>
  <c r="AH161" i="1" l="1"/>
  <c r="B161" i="1" s="1"/>
  <c r="C161" i="1" s="1"/>
  <c r="D183" i="1"/>
  <c r="A162" i="1"/>
  <c r="AF160" i="1"/>
  <c r="D162" i="1"/>
  <c r="AG162" i="1"/>
  <c r="A163" i="1"/>
  <c r="AG163" i="1"/>
  <c r="D163" i="1"/>
  <c r="A164" i="1"/>
  <c r="A165" i="1"/>
  <c r="AG165" i="1"/>
  <c r="D165" i="1"/>
  <c r="A166" i="1"/>
  <c r="AG166" i="1"/>
  <c r="D166" i="1"/>
  <c r="A167" i="1"/>
  <c r="A168" i="1"/>
  <c r="D168" i="1"/>
  <c r="AG168" i="1"/>
  <c r="A169" i="1"/>
  <c r="AH169" i="1" l="1"/>
  <c r="AH167" i="1"/>
  <c r="AI166" i="1"/>
  <c r="AH166" i="1"/>
  <c r="B166" i="1" s="1"/>
  <c r="C166" i="1" s="1"/>
  <c r="AH164" i="1"/>
  <c r="AI163" i="1"/>
  <c r="AF183" i="1"/>
  <c r="A170" i="1"/>
  <c r="AF168" i="1"/>
  <c r="AF166" i="1"/>
  <c r="AF165" i="1"/>
  <c r="AF163" i="1"/>
  <c r="AF162" i="1"/>
  <c r="AG170" i="1"/>
  <c r="D170" i="1"/>
  <c r="A171" i="1"/>
  <c r="D171" i="1"/>
  <c r="AG171" i="1"/>
  <c r="A172" i="1"/>
  <c r="D172" i="1"/>
  <c r="AG172" i="1"/>
  <c r="A173" i="1"/>
  <c r="AG173" i="1"/>
  <c r="D173" i="1"/>
  <c r="A174" i="1"/>
  <c r="AG174" i="1"/>
  <c r="D174" i="1"/>
  <c r="A175" i="1"/>
  <c r="AG175" i="1"/>
  <c r="D175" i="1"/>
  <c r="A176" i="1"/>
  <c r="A177" i="1"/>
  <c r="AG177" i="1"/>
  <c r="A178" i="1"/>
  <c r="D178" i="1"/>
  <c r="AG178" i="1"/>
  <c r="A179" i="1"/>
  <c r="D179" i="1"/>
  <c r="AG179" i="1"/>
  <c r="A180" i="1"/>
  <c r="D180" i="1"/>
  <c r="AG180" i="1"/>
  <c r="A181" i="1"/>
  <c r="AG181" i="1"/>
  <c r="A182" i="1"/>
  <c r="AH180" i="1" l="1"/>
  <c r="AH179" i="1"/>
  <c r="B179" i="1" s="1"/>
  <c r="C179" i="1" s="1"/>
  <c r="AI178" i="1"/>
  <c r="AI179" i="1" s="1"/>
  <c r="AI180" i="1" s="1"/>
  <c r="AI181" i="1" s="1"/>
  <c r="AH178" i="1"/>
  <c r="AH176" i="1"/>
  <c r="AH174" i="1"/>
  <c r="AH173" i="1"/>
  <c r="AI171" i="1"/>
  <c r="AI172" i="1" s="1"/>
  <c r="AI173" i="1" s="1"/>
  <c r="AI174" i="1" s="1"/>
  <c r="AI175" i="1" s="1"/>
  <c r="AH171" i="1"/>
  <c r="AH181" i="1"/>
  <c r="B181" i="1" s="1"/>
  <c r="C181" i="1" s="1"/>
  <c r="AH182" i="1"/>
  <c r="AF178" i="1"/>
  <c r="D177" i="1"/>
  <c r="AF175" i="1"/>
  <c r="AF174" i="1"/>
  <c r="AF173" i="1"/>
  <c r="AF172" i="1"/>
  <c r="AF171" i="1"/>
  <c r="AF170" i="1"/>
  <c r="A183" i="1"/>
  <c r="AF179" i="1"/>
  <c r="D181" i="1"/>
  <c r="AF180" i="1"/>
  <c r="AG182" i="1"/>
  <c r="D182" i="1"/>
  <c r="AI182" i="1" l="1"/>
  <c r="AH183" i="1"/>
  <c r="AF177" i="1"/>
  <c r="A184" i="1"/>
  <c r="AF182" i="1"/>
  <c r="A185" i="1"/>
  <c r="A186" i="1"/>
  <c r="AG186" i="1"/>
  <c r="D186" i="1"/>
  <c r="AF181" i="1"/>
  <c r="D184" i="1"/>
  <c r="AG184" i="1"/>
  <c r="AG185" i="1"/>
  <c r="D185" i="1"/>
  <c r="AI185" i="1" l="1"/>
  <c r="AI186" i="1" s="1"/>
  <c r="AH186" i="1"/>
  <c r="AH185" i="1"/>
  <c r="AF186" i="1"/>
  <c r="AF185" i="1"/>
  <c r="AF184" i="1"/>
  <c r="A187" i="1"/>
  <c r="D187" i="1"/>
  <c r="A188" i="1"/>
  <c r="AG187" i="1"/>
  <c r="AG188" i="1"/>
  <c r="D188" i="1"/>
  <c r="A189" i="1"/>
  <c r="AI187" i="1" l="1"/>
  <c r="AI188" i="1" s="1"/>
  <c r="AH188" i="1"/>
  <c r="AH189" i="1"/>
  <c r="D191" i="1"/>
  <c r="AG191" i="1"/>
  <c r="AI191" i="1" s="1"/>
  <c r="A190" i="1"/>
  <c r="AF188" i="1"/>
  <c r="AG189" i="1"/>
  <c r="D190" i="1"/>
  <c r="AF187" i="1"/>
  <c r="AG190" i="1"/>
  <c r="D189" i="1"/>
  <c r="A191" i="1"/>
  <c r="AI189" i="1" l="1"/>
  <c r="AI190" i="1" s="1"/>
  <c r="AH190" i="1"/>
  <c r="AH191" i="1"/>
  <c r="AF191" i="1"/>
  <c r="A192" i="1"/>
  <c r="AF189" i="1"/>
  <c r="AF190" i="1"/>
  <c r="AG192" i="1"/>
  <c r="D199" i="1" l="1"/>
  <c r="AG199" i="1"/>
  <c r="AI199" i="1" s="1"/>
  <c r="A193" i="1"/>
  <c r="AG193" i="1"/>
  <c r="A194" i="1"/>
  <c r="A195" i="1"/>
  <c r="AG194" i="1"/>
  <c r="D192" i="1"/>
  <c r="D193" i="1"/>
  <c r="D194" i="1"/>
  <c r="AG195" i="1"/>
  <c r="D195" i="1"/>
  <c r="AI193" i="1" l="1"/>
  <c r="AI194" i="1" s="1"/>
  <c r="AI195" i="1" s="1"/>
  <c r="AH195" i="1"/>
  <c r="AH194" i="1"/>
  <c r="AH193" i="1"/>
  <c r="B193" i="1" s="1"/>
  <c r="C193" i="1" s="1"/>
  <c r="AF199" i="1"/>
  <c r="A196" i="1"/>
  <c r="AF193" i="1"/>
  <c r="AF192" i="1"/>
  <c r="AF194" i="1"/>
  <c r="AF195" i="1"/>
  <c r="A197" i="1"/>
  <c r="D196" i="1"/>
  <c r="AG196" i="1"/>
  <c r="AG197" i="1"/>
  <c r="D197" i="1"/>
  <c r="A198" i="1"/>
  <c r="AG198" i="1"/>
  <c r="D198" i="1"/>
  <c r="A199" i="1"/>
  <c r="AH198" i="1" l="1"/>
  <c r="AH197" i="1"/>
  <c r="AI196" i="1"/>
  <c r="AI197" i="1" s="1"/>
  <c r="AI198" i="1" s="1"/>
  <c r="AH199" i="1"/>
  <c r="AF197" i="1"/>
  <c r="A200" i="1"/>
  <c r="D200" i="1"/>
  <c r="AF196" i="1"/>
  <c r="AF198" i="1"/>
  <c r="A201" i="1"/>
  <c r="AH201" i="1" l="1"/>
  <c r="AF200" i="1"/>
  <c r="AG200" i="1"/>
  <c r="A202" i="1"/>
  <c r="AG201" i="1"/>
  <c r="D201" i="1"/>
  <c r="AI201" i="1" l="1"/>
  <c r="AH202" i="1"/>
  <c r="D204" i="1"/>
  <c r="AG204" i="1"/>
  <c r="AI204" i="1" s="1"/>
  <c r="A203" i="1"/>
  <c r="AF201" i="1"/>
  <c r="AF204" i="1" l="1"/>
  <c r="A204" i="1"/>
  <c r="AG203" i="1"/>
  <c r="D203" i="1"/>
  <c r="AH204" i="1" l="1"/>
  <c r="B204" i="1" s="1"/>
  <c r="C204" i="1" s="1"/>
  <c r="A205" i="1"/>
  <c r="AF203" i="1"/>
  <c r="D208" i="1" l="1"/>
  <c r="AG208" i="1"/>
  <c r="AI208" i="1" s="1"/>
  <c r="D205" i="1"/>
  <c r="A206" i="1"/>
  <c r="D206" i="1"/>
  <c r="AG205" i="1"/>
  <c r="AG206" i="1"/>
  <c r="A207" i="1"/>
  <c r="AG207" i="1"/>
  <c r="D207" i="1"/>
  <c r="AI206" i="1" l="1"/>
  <c r="AI207" i="1" s="1"/>
  <c r="AH207" i="1"/>
  <c r="AH206" i="1"/>
  <c r="AF208" i="1"/>
  <c r="AF205" i="1"/>
  <c r="AF207" i="1"/>
  <c r="A208" i="1"/>
  <c r="A209" i="1"/>
  <c r="AF206" i="1"/>
  <c r="AG211" i="1" l="1"/>
  <c r="AI211" i="1" s="1"/>
  <c r="D211" i="1"/>
  <c r="A210" i="1"/>
  <c r="D210" i="1"/>
  <c r="AG209" i="1"/>
  <c r="D209" i="1"/>
  <c r="A211" i="1"/>
  <c r="AG210" i="1"/>
  <c r="AI210" i="1" l="1"/>
  <c r="AH210" i="1"/>
  <c r="AH211" i="1"/>
  <c r="B211" i="1" s="1"/>
  <c r="C211" i="1" s="1"/>
  <c r="AF211" i="1"/>
  <c r="AG214" i="1"/>
  <c r="AI214" i="1" s="1"/>
  <c r="D214" i="1"/>
  <c r="AF209" i="1"/>
  <c r="AF210" i="1"/>
  <c r="A212" i="1"/>
  <c r="A213" i="1"/>
  <c r="D212" i="1"/>
  <c r="AF214" i="1" l="1"/>
  <c r="AG213" i="1"/>
  <c r="A214" i="1"/>
  <c r="AF212" i="1"/>
  <c r="D213" i="1"/>
  <c r="AG212" i="1"/>
  <c r="AI213" i="1" l="1"/>
  <c r="AH214" i="1"/>
  <c r="AG227" i="1"/>
  <c r="AI227" i="1" s="1"/>
  <c r="D227" i="1"/>
  <c r="A215" i="1"/>
  <c r="AG215" i="1"/>
  <c r="A216" i="1"/>
  <c r="D216" i="1" s="1"/>
  <c r="D215" i="1"/>
  <c r="A217" i="1"/>
  <c r="AF213" i="1"/>
  <c r="AH217" i="1" l="1"/>
  <c r="AH216" i="1"/>
  <c r="AF227" i="1"/>
  <c r="AG217" i="1"/>
  <c r="AG216" i="1"/>
  <c r="A218" i="1"/>
  <c r="D218" i="1"/>
  <c r="A219" i="1"/>
  <c r="AF215" i="1"/>
  <c r="AF216" i="1"/>
  <c r="D217" i="1"/>
  <c r="AG218" i="1"/>
  <c r="AI216" i="1" l="1"/>
  <c r="AI217" i="1" s="1"/>
  <c r="AI218" i="1" s="1"/>
  <c r="AH218" i="1"/>
  <c r="D229" i="1"/>
  <c r="AF229" i="1" s="1"/>
  <c r="AG229" i="1"/>
  <c r="AI229" i="1" s="1"/>
  <c r="D219" i="1"/>
  <c r="AG219" i="1"/>
  <c r="AF217" i="1"/>
  <c r="A220" i="1"/>
  <c r="AF218" i="1"/>
  <c r="AI219" i="1" l="1"/>
  <c r="AH220" i="1"/>
  <c r="A221" i="1"/>
  <c r="AG221" i="1"/>
  <c r="AF219" i="1"/>
  <c r="A222" i="1"/>
  <c r="D221" i="1"/>
  <c r="A223" i="1"/>
  <c r="A224" i="1"/>
  <c r="A225" i="1" s="1"/>
  <c r="A226" i="1" s="1"/>
  <c r="AG224" i="1"/>
  <c r="D224" i="1"/>
  <c r="AG225" i="1"/>
  <c r="D225" i="1"/>
  <c r="AG223" i="1"/>
  <c r="D223" i="1"/>
  <c r="AG222" i="1"/>
  <c r="D222" i="1"/>
  <c r="AI222" i="1" l="1"/>
  <c r="AI223" i="1" s="1"/>
  <c r="AI224" i="1" s="1"/>
  <c r="AI225" i="1" s="1"/>
  <c r="AH225" i="1"/>
  <c r="AH224" i="1"/>
  <c r="AH223" i="1"/>
  <c r="AH222" i="1"/>
  <c r="AH226" i="1"/>
  <c r="D226" i="1"/>
  <c r="AF222" i="1"/>
  <c r="AF225" i="1"/>
  <c r="A227" i="1"/>
  <c r="AF221" i="1"/>
  <c r="AG226" i="1"/>
  <c r="AF224" i="1"/>
  <c r="AF223" i="1"/>
  <c r="AI226" i="1" l="1"/>
  <c r="AH227" i="1"/>
  <c r="AF226" i="1"/>
  <c r="A228" i="1"/>
  <c r="AG228" i="1" s="1"/>
  <c r="D228" i="1"/>
  <c r="A229" i="1"/>
  <c r="AH229" i="1" l="1"/>
  <c r="A230" i="1"/>
  <c r="AF228" i="1"/>
  <c r="A231" i="1"/>
  <c r="A232" i="1"/>
  <c r="AG231" i="1"/>
  <c r="D231" i="1"/>
  <c r="D230" i="1"/>
  <c r="AG230" i="1"/>
  <c r="AI231" i="1" l="1"/>
  <c r="AH232" i="1"/>
  <c r="AH231" i="1"/>
  <c r="AG241" i="1"/>
  <c r="AI241" i="1" s="1"/>
  <c r="AF230" i="1"/>
  <c r="A233" i="1"/>
  <c r="AG232" i="1"/>
  <c r="AG233" i="1"/>
  <c r="D233" i="1"/>
  <c r="D232" i="1"/>
  <c r="A234" i="1"/>
  <c r="AG234" i="1" s="1"/>
  <c r="AF231" i="1"/>
  <c r="D234" i="1"/>
  <c r="AI232" i="1" l="1"/>
  <c r="AI233" i="1" s="1"/>
  <c r="AI234" i="1" s="1"/>
  <c r="AH234" i="1"/>
  <c r="AH233" i="1"/>
  <c r="D241" i="1"/>
  <c r="AF234" i="1"/>
  <c r="AF233" i="1"/>
  <c r="AF232" i="1"/>
  <c r="A235" i="1"/>
  <c r="A236" i="1"/>
  <c r="AG236" i="1"/>
  <c r="A237" i="1"/>
  <c r="AG237" i="1"/>
  <c r="D237" i="1"/>
  <c r="AI237" i="1" l="1"/>
  <c r="AH237" i="1"/>
  <c r="B237" i="1" s="1"/>
  <c r="C237" i="1" s="1"/>
  <c r="AH235" i="1"/>
  <c r="AF241" i="1"/>
  <c r="D245" i="1"/>
  <c r="AG243" i="1"/>
  <c r="AI243" i="1" s="1"/>
  <c r="D243" i="1"/>
  <c r="AF237" i="1"/>
  <c r="D236" i="1"/>
  <c r="A238" i="1"/>
  <c r="A239" i="1"/>
  <c r="A240" i="1" s="1"/>
  <c r="A241" i="1" s="1"/>
  <c r="D239" i="1"/>
  <c r="AG239" i="1"/>
  <c r="AG240" i="1"/>
  <c r="D240" i="1"/>
  <c r="D238" i="1"/>
  <c r="AG238" i="1"/>
  <c r="AI238" i="1" l="1"/>
  <c r="AI239" i="1" s="1"/>
  <c r="AI240" i="1" s="1"/>
  <c r="AH241" i="1"/>
  <c r="AH240" i="1"/>
  <c r="AH239" i="1"/>
  <c r="B239" i="1" s="1"/>
  <c r="C239" i="1" s="1"/>
  <c r="AG245" i="1"/>
  <c r="AI245" i="1" s="1"/>
  <c r="AF245" i="1"/>
  <c r="AF243" i="1"/>
  <c r="A242" i="1"/>
  <c r="AF236" i="1"/>
  <c r="AF238" i="1"/>
  <c r="AF239" i="1"/>
  <c r="D242" i="1"/>
  <c r="AF240" i="1"/>
  <c r="D270" i="1" l="1"/>
  <c r="AG270" i="1"/>
  <c r="AI270" i="1" s="1"/>
  <c r="AG242" i="1"/>
  <c r="A243" i="1"/>
  <c r="AF242" i="1"/>
  <c r="A244" i="1"/>
  <c r="D244" i="1"/>
  <c r="A245" i="1"/>
  <c r="AG244" i="1"/>
  <c r="AH245" i="1" l="1"/>
  <c r="AH243" i="1"/>
  <c r="AF270" i="1"/>
  <c r="AF244" i="1"/>
  <c r="D280" i="1" l="1"/>
  <c r="AG280" i="1"/>
  <c r="AI280" i="1" s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49" i="1"/>
  <c r="AG349" i="1"/>
  <c r="AI349" i="1" s="1"/>
  <c r="AG438" i="1"/>
  <c r="AI438" i="1" s="1"/>
  <c r="D438" i="1"/>
  <c r="D444" i="1"/>
  <c r="AG444" i="1"/>
  <c r="AI444" i="1" s="1"/>
  <c r="AG449" i="1"/>
  <c r="AI449" i="1" s="1"/>
  <c r="D449" i="1"/>
  <c r="AG461" i="1"/>
  <c r="AI461" i="1" s="1"/>
  <c r="D461" i="1"/>
  <c r="AG463" i="1"/>
  <c r="AI463" i="1" s="1"/>
  <c r="D463" i="1"/>
  <c r="D474" i="1"/>
  <c r="AG474" i="1"/>
  <c r="AI474" i="1" s="1"/>
  <c r="AG476" i="1"/>
  <c r="AI476" i="1" s="1"/>
  <c r="D476" i="1"/>
  <c r="AG481" i="1"/>
  <c r="AI481" i="1" s="1"/>
  <c r="D481" i="1"/>
  <c r="AG483" i="1"/>
  <c r="AI483" i="1" s="1"/>
  <c r="D483" i="1"/>
  <c r="AG485" i="1"/>
  <c r="AI485" i="1" s="1"/>
  <c r="D485" i="1"/>
  <c r="AG487" i="1"/>
  <c r="AI487" i="1" s="1"/>
  <c r="D487" i="1"/>
  <c r="AG502" i="1"/>
  <c r="AI502" i="1" s="1"/>
  <c r="D502" i="1"/>
  <c r="AG512" i="1"/>
  <c r="AI512" i="1" s="1"/>
  <c r="D512" i="1"/>
  <c r="AG522" i="1"/>
  <c r="AI522" i="1" s="1"/>
  <c r="D522" i="1"/>
  <c r="AG525" i="1"/>
  <c r="AI525" i="1" s="1"/>
  <c r="D525" i="1"/>
  <c r="AG531" i="1"/>
  <c r="AI531" i="1" s="1"/>
  <c r="D531" i="1"/>
  <c r="AG558" i="1"/>
  <c r="AI558" i="1" s="1"/>
  <c r="D558" i="1"/>
  <c r="AG534" i="1"/>
  <c r="AI534" i="1" s="1"/>
  <c r="D534" i="1"/>
  <c r="AG547" i="1"/>
  <c r="AI547" i="1" s="1"/>
  <c r="D547" i="1"/>
  <c r="AG553" i="1"/>
  <c r="AI553" i="1" s="1"/>
  <c r="D553" i="1"/>
  <c r="AG560" i="1"/>
  <c r="AI560" i="1" s="1"/>
  <c r="D560" i="1"/>
  <c r="D563" i="1"/>
  <c r="AG563" i="1"/>
  <c r="AI563" i="1" s="1"/>
  <c r="D569" i="1"/>
  <c r="AG569" i="1"/>
  <c r="AI569" i="1" s="1"/>
  <c r="AG572" i="1"/>
  <c r="AI572" i="1" s="1"/>
  <c r="D572" i="1"/>
  <c r="D575" i="1"/>
  <c r="AG575" i="1"/>
  <c r="AI575" i="1" s="1"/>
  <c r="D580" i="1"/>
  <c r="AG580" i="1"/>
  <c r="AI580" i="1" s="1"/>
  <c r="D595" i="1"/>
  <c r="AG595" i="1"/>
  <c r="AI595" i="1" s="1"/>
  <c r="D597" i="1"/>
  <c r="AG597" i="1"/>
  <c r="AI597" i="1" s="1"/>
  <c r="AG599" i="1"/>
  <c r="AI599" i="1" s="1"/>
  <c r="D599" i="1"/>
  <c r="D602" i="1"/>
  <c r="AG602" i="1"/>
  <c r="AI602" i="1" s="1"/>
  <c r="D605" i="1"/>
  <c r="AG605" i="1"/>
  <c r="AI605" i="1" s="1"/>
  <c r="AG614" i="1"/>
  <c r="AI614" i="1" s="1"/>
  <c r="D614" i="1"/>
  <c r="D617" i="1"/>
  <c r="AG617" i="1"/>
  <c r="AI617" i="1" s="1"/>
  <c r="AG622" i="1"/>
  <c r="AI622" i="1" s="1"/>
  <c r="D622" i="1"/>
  <c r="D624" i="1"/>
  <c r="AG624" i="1"/>
  <c r="AI624" i="1" s="1"/>
  <c r="AG625" i="1"/>
  <c r="AI625" i="1" s="1"/>
  <c r="D625" i="1"/>
  <c r="AG627" i="1"/>
  <c r="AI627" i="1" s="1"/>
  <c r="D627" i="1"/>
  <c r="D628" i="1"/>
  <c r="AG628" i="1"/>
  <c r="AI628" i="1" s="1"/>
  <c r="AG629" i="1"/>
  <c r="AI629" i="1" s="1"/>
  <c r="D629" i="1"/>
  <c r="AG631" i="1"/>
  <c r="AI631" i="1" s="1"/>
  <c r="D631" i="1"/>
  <c r="AG632" i="1"/>
  <c r="AI632" i="1" s="1"/>
  <c r="D632" i="1"/>
  <c r="AG633" i="1"/>
  <c r="AI633" i="1" s="1"/>
  <c r="D633" i="1"/>
  <c r="AG634" i="1"/>
  <c r="AI634" i="1" s="1"/>
  <c r="D634" i="1"/>
  <c r="AG635" i="1"/>
  <c r="AI635" i="1" s="1"/>
  <c r="D635" i="1"/>
  <c r="AG636" i="1"/>
  <c r="AI636" i="1" s="1"/>
  <c r="D636" i="1"/>
  <c r="AG637" i="1"/>
  <c r="AI637" i="1" s="1"/>
  <c r="D637" i="1"/>
  <c r="D638" i="1"/>
  <c r="AG638" i="1"/>
  <c r="AI638" i="1" s="1"/>
  <c r="D639" i="1"/>
  <c r="AG639" i="1"/>
  <c r="AI639" i="1" s="1"/>
  <c r="D640" i="1"/>
  <c r="AG640" i="1"/>
  <c r="AI640" i="1" s="1"/>
  <c r="AG642" i="1"/>
  <c r="AI642" i="1" s="1"/>
  <c r="D642" i="1"/>
  <c r="D643" i="1"/>
  <c r="AG643" i="1"/>
  <c r="AI643" i="1" s="1"/>
  <c r="D644" i="1"/>
  <c r="AG644" i="1"/>
  <c r="AI644" i="1" s="1"/>
  <c r="D645" i="1"/>
  <c r="AG645" i="1"/>
  <c r="AI645" i="1" s="1"/>
  <c r="D647" i="1"/>
  <c r="AG647" i="1"/>
  <c r="AI647" i="1" s="1"/>
  <c r="AG648" i="1"/>
  <c r="AI648" i="1" s="1"/>
  <c r="D648" i="1"/>
  <c r="D649" i="1"/>
  <c r="AG649" i="1"/>
  <c r="AI649" i="1" s="1"/>
  <c r="AG650" i="1"/>
  <c r="AI650" i="1" s="1"/>
  <c r="D650" i="1"/>
  <c r="D651" i="1"/>
  <c r="AG651" i="1"/>
  <c r="AI651" i="1" s="1"/>
  <c r="AG652" i="1"/>
  <c r="AI652" i="1" s="1"/>
  <c r="D652" i="1"/>
  <c r="AG653" i="1"/>
  <c r="AI653" i="1" s="1"/>
  <c r="D653" i="1"/>
  <c r="AG654" i="1"/>
  <c r="AI654" i="1" s="1"/>
  <c r="D654" i="1"/>
  <c r="D655" i="1"/>
  <c r="AG655" i="1"/>
  <c r="AI655" i="1" s="1"/>
  <c r="D656" i="1"/>
  <c r="AG656" i="1"/>
  <c r="AI656" i="1" s="1"/>
  <c r="D658" i="1"/>
  <c r="AG658" i="1"/>
  <c r="AI658" i="1" s="1"/>
  <c r="AG659" i="1"/>
  <c r="AI659" i="1" s="1"/>
  <c r="D659" i="1"/>
  <c r="AG660" i="1"/>
  <c r="AI660" i="1" s="1"/>
  <c r="D660" i="1"/>
  <c r="AG661" i="1"/>
  <c r="AI661" i="1" s="1"/>
  <c r="D661" i="1"/>
  <c r="D662" i="1"/>
  <c r="AG662" i="1"/>
  <c r="AI662" i="1" s="1"/>
  <c r="AG663" i="1"/>
  <c r="AI663" i="1" s="1"/>
  <c r="D663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663" i="1"/>
  <c r="AF663" i="1"/>
  <c r="AC662" i="1"/>
  <c r="AB662" i="1"/>
  <c r="AF661" i="1"/>
  <c r="AC661" i="1"/>
  <c r="AF660" i="1"/>
  <c r="AC660" i="1"/>
  <c r="AB659" i="1"/>
  <c r="AF659" i="1"/>
  <c r="AB658" i="1"/>
  <c r="AF658" i="1"/>
  <c r="AF656" i="1"/>
  <c r="AF655" i="1"/>
  <c r="AC654" i="1"/>
  <c r="AC653" i="1"/>
  <c r="AC652" i="1"/>
  <c r="AF651" i="1"/>
  <c r="AB650" i="1"/>
  <c r="AB649" i="1"/>
  <c r="AB648" i="1"/>
  <c r="AF647" i="1"/>
  <c r="AF645" i="1"/>
  <c r="AC645" i="1"/>
  <c r="AC644" i="1"/>
  <c r="AF644" i="1"/>
  <c r="AB643" i="1"/>
  <c r="AF643" i="1"/>
  <c r="AC642" i="1"/>
  <c r="AF642" i="1"/>
  <c r="AC640" i="1"/>
  <c r="AF639" i="1"/>
  <c r="AC638" i="1"/>
  <c r="AC637" i="1"/>
  <c r="AF636" i="1"/>
  <c r="AB635" i="1"/>
  <c r="AC634" i="1"/>
  <c r="AC633" i="1"/>
  <c r="AB632" i="1"/>
  <c r="AB631" i="1"/>
  <c r="AB629" i="1"/>
  <c r="AF629" i="1"/>
  <c r="AC628" i="1"/>
  <c r="AF628" i="1"/>
  <c r="AB627" i="1"/>
  <c r="AC627" i="1"/>
  <c r="AB625" i="1"/>
  <c r="AC624" i="1"/>
  <c r="AC622" i="1"/>
  <c r="AF617" i="1"/>
  <c r="AC617" i="1"/>
  <c r="AB614" i="1"/>
  <c r="AC605" i="1"/>
  <c r="AB602" i="1"/>
  <c r="AC599" i="1"/>
  <c r="AB597" i="1"/>
  <c r="AC595" i="1"/>
  <c r="AC580" i="1"/>
  <c r="AB575" i="1"/>
  <c r="AF575" i="1"/>
  <c r="AC572" i="1"/>
  <c r="AF572" i="1"/>
  <c r="AF569" i="1"/>
  <c r="AC569" i="1"/>
  <c r="AF563" i="1"/>
  <c r="AC563" i="1"/>
  <c r="AC560" i="1"/>
  <c r="AB553" i="1"/>
  <c r="AB547" i="1"/>
  <c r="AC534" i="1"/>
  <c r="AF534" i="1"/>
  <c r="AF558" i="1"/>
  <c r="AC558" i="1"/>
  <c r="AC531" i="1"/>
  <c r="AC525" i="1"/>
  <c r="AC522" i="1"/>
  <c r="AC512" i="1"/>
  <c r="AB512" i="1"/>
  <c r="AF502" i="1"/>
  <c r="AB487" i="1"/>
  <c r="AF485" i="1"/>
  <c r="AB485" i="1"/>
  <c r="AB483" i="1"/>
  <c r="AC483" i="1"/>
  <c r="AC481" i="1"/>
  <c r="AB481" i="1"/>
  <c r="AB476" i="1"/>
  <c r="AF474" i="1"/>
  <c r="AC463" i="1"/>
  <c r="AB463" i="1"/>
  <c r="AF461" i="1"/>
  <c r="AC461" i="1"/>
  <c r="AF449" i="1"/>
  <c r="AB444" i="1"/>
  <c r="AF438" i="1"/>
  <c r="AB438" i="1"/>
  <c r="AB349" i="1"/>
  <c r="AF349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663" i="1"/>
  <c r="AF662" i="1"/>
  <c r="AB661" i="1"/>
  <c r="AB660" i="1"/>
  <c r="AC659" i="1"/>
  <c r="AC658" i="1"/>
  <c r="AC656" i="1"/>
  <c r="AB656" i="1"/>
  <c r="AB655" i="1"/>
  <c r="AC655" i="1"/>
  <c r="AB654" i="1"/>
  <c r="AF654" i="1"/>
  <c r="AF653" i="1"/>
  <c r="AB653" i="1"/>
  <c r="AB652" i="1"/>
  <c r="AF652" i="1"/>
  <c r="AB651" i="1"/>
  <c r="AC651" i="1"/>
  <c r="AF650" i="1"/>
  <c r="AC650" i="1"/>
  <c r="AC649" i="1"/>
  <c r="AF649" i="1"/>
  <c r="AC648" i="1"/>
  <c r="AF648" i="1"/>
  <c r="AC647" i="1"/>
  <c r="AB647" i="1"/>
  <c r="AB645" i="1"/>
  <c r="AB644" i="1"/>
  <c r="AC643" i="1"/>
  <c r="AB642" i="1"/>
  <c r="AB640" i="1"/>
  <c r="AF640" i="1"/>
  <c r="AB639" i="1"/>
  <c r="AC639" i="1"/>
  <c r="AF638" i="1"/>
  <c r="AB638" i="1"/>
  <c r="AF637" i="1"/>
  <c r="AB637" i="1"/>
  <c r="AB636" i="1"/>
  <c r="AC636" i="1"/>
  <c r="AF635" i="1"/>
  <c r="AC635" i="1"/>
  <c r="AB634" i="1"/>
  <c r="AF634" i="1"/>
  <c r="AB633" i="1"/>
  <c r="AF633" i="1"/>
  <c r="AC632" i="1"/>
  <c r="AF632" i="1"/>
  <c r="AC631" i="1"/>
  <c r="AF631" i="1"/>
  <c r="AC629" i="1"/>
  <c r="AB628" i="1"/>
  <c r="AF627" i="1"/>
  <c r="AF625" i="1"/>
  <c r="AC625" i="1"/>
  <c r="AB624" i="1"/>
  <c r="AF624" i="1"/>
  <c r="AB622" i="1"/>
  <c r="AF622" i="1"/>
  <c r="AB617" i="1"/>
  <c r="AC614" i="1"/>
  <c r="AF614" i="1"/>
  <c r="AB605" i="1"/>
  <c r="AF605" i="1"/>
  <c r="AC602" i="1"/>
  <c r="AF602" i="1"/>
  <c r="AB599" i="1"/>
  <c r="AF599" i="1"/>
  <c r="AC597" i="1"/>
  <c r="AF597" i="1"/>
  <c r="AF595" i="1"/>
  <c r="AB595" i="1"/>
  <c r="AF580" i="1"/>
  <c r="AB580" i="1"/>
  <c r="AC575" i="1"/>
  <c r="AB572" i="1"/>
  <c r="AB569" i="1"/>
  <c r="AB563" i="1"/>
  <c r="AB560" i="1"/>
  <c r="AF560" i="1"/>
  <c r="AC553" i="1"/>
  <c r="AF553" i="1"/>
  <c r="AC547" i="1"/>
  <c r="AF547" i="1"/>
  <c r="AB534" i="1"/>
  <c r="AB558" i="1"/>
  <c r="AF531" i="1"/>
  <c r="AB531" i="1"/>
  <c r="AF525" i="1"/>
  <c r="AB525" i="1"/>
  <c r="AB522" i="1"/>
  <c r="AF522" i="1"/>
  <c r="AF512" i="1"/>
  <c r="AB502" i="1"/>
  <c r="AC502" i="1"/>
  <c r="AC487" i="1"/>
  <c r="AF487" i="1"/>
  <c r="AC485" i="1"/>
  <c r="AF483" i="1"/>
  <c r="AF481" i="1"/>
  <c r="AF476" i="1"/>
  <c r="AC476" i="1"/>
  <c r="AB474" i="1"/>
  <c r="AC474" i="1"/>
  <c r="AF463" i="1"/>
  <c r="AB461" i="1"/>
  <c r="AB449" i="1"/>
  <c r="AC449" i="1"/>
  <c r="AC444" i="1"/>
  <c r="AF444" i="1"/>
  <c r="AC438" i="1"/>
  <c r="AC349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365" i="1"/>
  <c r="C365" i="1" s="1"/>
  <c r="B444" i="1"/>
  <c r="C444" i="1" s="1"/>
  <c r="B447" i="1"/>
  <c r="C447" i="1" s="1"/>
  <c r="B470" i="1"/>
  <c r="C470" i="1" s="1"/>
  <c r="B487" i="1"/>
  <c r="C487" i="1" s="1"/>
  <c r="B493" i="1"/>
  <c r="C493" i="1" s="1"/>
  <c r="B496" i="1"/>
  <c r="C496" i="1" s="1"/>
  <c r="B498" i="1"/>
  <c r="C498" i="1" s="1"/>
  <c r="B515" i="1"/>
  <c r="C515" i="1" s="1"/>
  <c r="B546" i="1"/>
  <c r="C546" i="1" s="1"/>
  <c r="B580" i="1"/>
  <c r="C580" i="1" s="1"/>
  <c r="B590" i="1"/>
  <c r="C590" i="1" s="1"/>
  <c r="B599" i="1"/>
  <c r="C599" i="1" s="1"/>
  <c r="B608" i="1"/>
  <c r="C608" i="1" s="1"/>
  <c r="B627" i="1"/>
  <c r="C627" i="1" s="1"/>
  <c r="B631" i="1"/>
  <c r="C631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47" i="1"/>
  <c r="C347" i="1" s="1"/>
  <c r="B354" i="1"/>
  <c r="C354" i="1" s="1"/>
  <c r="B363" i="1"/>
  <c r="C363" i="1" s="1"/>
  <c r="B449" i="1"/>
  <c r="C449" i="1" s="1"/>
  <c r="B489" i="1"/>
  <c r="C489" i="1" s="1"/>
  <c r="B556" i="1"/>
  <c r="C556" i="1" s="1"/>
  <c r="B563" i="1"/>
  <c r="C563" i="1" s="1"/>
  <c r="B585" i="1"/>
  <c r="C585" i="1" s="1"/>
  <c r="B642" i="1"/>
  <c r="C642" i="1" s="1"/>
  <c r="B647" i="1"/>
  <c r="C647" i="1" s="1"/>
  <c r="B658" i="1"/>
  <c r="C658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8"/>
  <c r="B4" i="6"/>
  <c r="B5" i="6"/>
  <c r="B28" i="5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N80" i="2"/>
  <c r="M80" i="2" l="1"/>
  <c r="O80" i="2" s="1"/>
  <c r="P80" i="2" s="1"/>
  <c r="Q80" i="2" s="1"/>
  <c r="J3" i="11"/>
  <c r="J32" i="5"/>
  <c r="J31" i="5"/>
  <c r="J28" i="5"/>
  <c r="J3" i="6"/>
  <c r="A3" i="11"/>
  <c r="A4" i="8"/>
  <c r="A4" i="6"/>
  <c r="A5" i="6"/>
  <c r="A30" i="5"/>
  <c r="A32" i="5"/>
  <c r="J30" i="5"/>
  <c r="J29" i="5"/>
  <c r="J5" i="6"/>
  <c r="J4" i="6"/>
  <c r="A3" i="6"/>
  <c r="K4" i="8"/>
  <c r="L4" i="8" s="1"/>
  <c r="M4" i="8" s="1"/>
  <c r="A28" i="5"/>
  <c r="A29" i="5"/>
  <c r="A31" i="5"/>
  <c r="I3" i="6"/>
  <c r="I4" i="6"/>
  <c r="I31" i="5"/>
  <c r="I32" i="5"/>
  <c r="I37" i="4"/>
  <c r="J37" i="4"/>
  <c r="E37" i="4"/>
  <c r="G37" i="4"/>
  <c r="H37" i="4"/>
  <c r="C37" i="4"/>
  <c r="D37" i="4"/>
  <c r="F37" i="4"/>
  <c r="A2" i="2"/>
  <c r="J80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A37" i="4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J2" i="2"/>
  <c r="I2" i="2"/>
  <c r="H2" i="2"/>
  <c r="F2" i="2"/>
  <c r="A246" i="1"/>
  <c r="D246" i="1" s="1"/>
  <c r="B2" i="2"/>
  <c r="AG246" i="1"/>
  <c r="A247" i="1"/>
  <c r="AH247" i="1" l="1"/>
  <c r="AF246" i="1"/>
  <c r="A248" i="1"/>
  <c r="B3" i="4"/>
  <c r="D247" i="1"/>
  <c r="AG247" i="1"/>
  <c r="AI247" i="1" l="1"/>
  <c r="AH248" i="1"/>
  <c r="D248" i="1"/>
  <c r="G3" i="4"/>
  <c r="F3" i="4"/>
  <c r="E3" i="4"/>
  <c r="H3" i="4"/>
  <c r="C3" i="4"/>
  <c r="D3" i="4"/>
  <c r="AF247" i="1"/>
  <c r="A249" i="1"/>
  <c r="A250" i="1" s="1"/>
  <c r="AG248" i="1"/>
  <c r="AG249" i="1"/>
  <c r="D249" i="1"/>
  <c r="AI248" i="1" l="1"/>
  <c r="AI249" i="1" s="1"/>
  <c r="AH249" i="1"/>
  <c r="A3" i="4"/>
  <c r="AH250" i="1"/>
  <c r="B250" i="1" s="1"/>
  <c r="C250" i="1" s="1"/>
  <c r="AF248" i="1"/>
  <c r="A251" i="1"/>
  <c r="AF249" i="1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D251" i="1"/>
  <c r="J89" i="2"/>
  <c r="J83" i="2"/>
  <c r="A252" i="1"/>
  <c r="J87" i="2"/>
  <c r="J93" i="2"/>
  <c r="J77" i="2"/>
  <c r="AG251" i="1"/>
  <c r="J81" i="2"/>
  <c r="J90" i="2"/>
  <c r="J78" i="2"/>
  <c r="J86" i="2"/>
  <c r="J84" i="2"/>
  <c r="J82" i="2"/>
  <c r="J85" i="2"/>
  <c r="A253" i="1"/>
  <c r="AG253" i="1"/>
  <c r="J79" i="2"/>
  <c r="J88" i="2"/>
  <c r="J92" i="2"/>
  <c r="J91" i="2"/>
  <c r="D253" i="1"/>
  <c r="AH252" i="1" l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A254" i="1"/>
  <c r="A255" i="1"/>
  <c r="AF251" i="1"/>
  <c r="D254" i="1"/>
  <c r="AG254" i="1"/>
  <c r="J73" i="2"/>
  <c r="J76" i="2"/>
  <c r="AF253" i="1"/>
  <c r="J71" i="2"/>
  <c r="J70" i="2"/>
  <c r="J69" i="2"/>
  <c r="J75" i="2"/>
  <c r="J74" i="2"/>
  <c r="AH254" i="1" l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256" i="1"/>
  <c r="D256" i="1" s="1"/>
  <c r="AG256" i="1"/>
  <c r="A257" i="1"/>
  <c r="D257" i="1"/>
  <c r="A258" i="1"/>
  <c r="AF254" i="1"/>
  <c r="J72" i="2"/>
  <c r="AH258" i="1" l="1"/>
  <c r="AH257" i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AF256" i="1"/>
  <c r="AF257" i="1"/>
  <c r="AG257" i="1"/>
  <c r="A259" i="1"/>
  <c r="D259" i="1"/>
  <c r="A260" i="1"/>
  <c r="AG259" i="1"/>
  <c r="AG260" i="1"/>
  <c r="D260" i="1"/>
  <c r="AI257" i="1" l="1"/>
  <c r="AI260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F259" i="1"/>
  <c r="A261" i="1"/>
  <c r="D261" i="1"/>
  <c r="AF260" i="1"/>
  <c r="A262" i="1"/>
  <c r="AG262" i="1" s="1"/>
  <c r="D262" i="1"/>
  <c r="AG261" i="1"/>
  <c r="AI261" i="1" l="1"/>
  <c r="AI262" i="1" s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A263" i="1"/>
  <c r="A264" i="1"/>
  <c r="AF261" i="1"/>
  <c r="AF262" i="1"/>
  <c r="D264" i="1"/>
  <c r="AH263" i="1" l="1"/>
  <c r="AG264" i="1"/>
  <c r="A265" i="1"/>
  <c r="AF264" i="1"/>
  <c r="AG265" i="1"/>
  <c r="A266" i="1"/>
  <c r="D265" i="1"/>
  <c r="D266" i="1"/>
  <c r="AG266" i="1"/>
  <c r="AI265" i="1" l="1"/>
  <c r="AI266" i="1" s="1"/>
  <c r="AH266" i="1"/>
  <c r="B266" i="1" s="1"/>
  <c r="C266" i="1" s="1"/>
  <c r="AH265" i="1"/>
  <c r="AF266" i="1"/>
  <c r="AF265" i="1"/>
  <c r="A267" i="1"/>
  <c r="A268" i="1"/>
  <c r="A269" i="1"/>
  <c r="AG267" i="1"/>
  <c r="AG269" i="1"/>
  <c r="D268" i="1"/>
  <c r="AG268" i="1"/>
  <c r="D267" i="1"/>
  <c r="D269" i="1"/>
  <c r="AH267" i="1" l="1"/>
  <c r="AI267" i="1"/>
  <c r="AI268" i="1" s="1"/>
  <c r="AI269" i="1" s="1"/>
  <c r="AH269" i="1"/>
  <c r="AH268" i="1"/>
  <c r="B268" i="1" s="1"/>
  <c r="C268" i="1" s="1"/>
  <c r="AF269" i="1"/>
  <c r="AF268" i="1"/>
  <c r="AF267" i="1"/>
  <c r="A270" i="1"/>
  <c r="A271" i="1"/>
  <c r="AG271" i="1"/>
  <c r="AH270" i="1" l="1"/>
  <c r="B270" i="1" s="1"/>
  <c r="C270" i="1" s="1"/>
  <c r="D271" i="1"/>
  <c r="A272" i="1"/>
  <c r="A273" i="1"/>
  <c r="D272" i="1"/>
  <c r="D273" i="1"/>
  <c r="AG272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656" i="1"/>
  <c r="C656" i="1" s="1"/>
  <c r="B653" i="1"/>
  <c r="C653" i="1" s="1"/>
  <c r="B651" i="1"/>
  <c r="C651" i="1" s="1"/>
  <c r="B649" i="1"/>
  <c r="C649" i="1" s="1"/>
  <c r="B644" i="1"/>
  <c r="C644" i="1" s="1"/>
  <c r="B629" i="1"/>
  <c r="C629" i="1" s="1"/>
  <c r="B625" i="1"/>
  <c r="C625" i="1" s="1"/>
  <c r="B611" i="1"/>
  <c r="C611" i="1" s="1"/>
  <c r="B597" i="1"/>
  <c r="C597" i="1" s="1"/>
  <c r="B591" i="1"/>
  <c r="C591" i="1" s="1"/>
  <c r="B587" i="1"/>
  <c r="C587" i="1" s="1"/>
  <c r="B567" i="1"/>
  <c r="C567" i="1" s="1"/>
  <c r="AG273" i="1"/>
  <c r="AF273" i="1"/>
  <c r="AF271" i="1"/>
  <c r="AF272" i="1"/>
  <c r="A274" i="1"/>
  <c r="A275" i="1"/>
  <c r="A276" i="1" s="1"/>
  <c r="AG275" i="1"/>
  <c r="D275" i="1"/>
  <c r="A277" i="1"/>
  <c r="A278" i="1" s="1"/>
  <c r="A279" i="1" s="1"/>
  <c r="A280" i="1" s="1"/>
  <c r="AG277" i="1"/>
  <c r="D278" i="1"/>
  <c r="AG279" i="1"/>
  <c r="A281" i="1"/>
  <c r="A282" i="1"/>
  <c r="AG282" i="1"/>
  <c r="D282" i="1"/>
  <c r="AG281" i="1"/>
  <c r="D277" i="1"/>
  <c r="AG276" i="1"/>
  <c r="D274" i="1"/>
  <c r="AG274" i="1"/>
  <c r="AI273" i="1" l="1"/>
  <c r="AI274" i="1" s="1"/>
  <c r="AI275" i="1" s="1"/>
  <c r="AI276" i="1" s="1"/>
  <c r="AI277" i="1" s="1"/>
  <c r="AH280" i="1"/>
  <c r="AH279" i="1"/>
  <c r="B279" i="1" s="1"/>
  <c r="C279" i="1" s="1"/>
  <c r="AH278" i="1"/>
  <c r="AH277" i="1"/>
  <c r="AH276" i="1"/>
  <c r="AH275" i="1"/>
  <c r="B275" i="1" s="1"/>
  <c r="C275" i="1" s="1"/>
  <c r="AH274" i="1"/>
  <c r="AI282" i="1"/>
  <c r="AH282" i="1"/>
  <c r="B562" i="1"/>
  <c r="C562" i="1" s="1"/>
  <c r="B552" i="1"/>
  <c r="C552" i="1" s="1"/>
  <c r="B550" i="1"/>
  <c r="C550" i="1" s="1"/>
  <c r="AG278" i="1"/>
  <c r="AF277" i="1"/>
  <c r="A283" i="1"/>
  <c r="AF282" i="1"/>
  <c r="D276" i="1"/>
  <c r="A284" i="1"/>
  <c r="D284" i="1"/>
  <c r="D279" i="1"/>
  <c r="AF275" i="1"/>
  <c r="D281" i="1"/>
  <c r="AF278" i="1"/>
  <c r="AF274" i="1"/>
  <c r="AG284" i="1"/>
  <c r="A285" i="1"/>
  <c r="AG285" i="1" s="1"/>
  <c r="D285" i="1"/>
  <c r="AI278" i="1" l="1"/>
  <c r="AI279" i="1" s="1"/>
  <c r="AI285" i="1"/>
  <c r="AH285" i="1"/>
  <c r="B285" i="1" s="1"/>
  <c r="C285" i="1" s="1"/>
  <c r="AH283" i="1"/>
  <c r="B283" i="1" s="1"/>
  <c r="C283" i="1" s="1"/>
  <c r="A286" i="1"/>
  <c r="AF285" i="1"/>
  <c r="AF279" i="1"/>
  <c r="AG286" i="1"/>
  <c r="AF276" i="1"/>
  <c r="AF281" i="1"/>
  <c r="AF284" i="1"/>
  <c r="D286" i="1"/>
  <c r="AH286" i="1" l="1"/>
  <c r="AI286" i="1"/>
  <c r="AF286" i="1"/>
  <c r="A287" i="1"/>
  <c r="D287" i="1"/>
  <c r="A288" i="1"/>
  <c r="AG287" i="1"/>
  <c r="D288" i="1"/>
  <c r="AG288" i="1"/>
  <c r="AH288" i="1" l="1"/>
  <c r="AH287" i="1"/>
  <c r="AI287" i="1"/>
  <c r="AI288" i="1" s="1"/>
  <c r="A289" i="1"/>
  <c r="AG289" i="1"/>
  <c r="A290" i="1"/>
  <c r="AF288" i="1"/>
  <c r="AF287" i="1"/>
  <c r="D289" i="1"/>
  <c r="AH290" i="1" l="1"/>
  <c r="AH289" i="1"/>
  <c r="AI289" i="1"/>
  <c r="AF289" i="1"/>
  <c r="A291" i="1"/>
  <c r="D291" i="1"/>
  <c r="A292" i="1"/>
  <c r="AG292" i="1"/>
  <c r="D292" i="1"/>
  <c r="AG291" i="1"/>
  <c r="AI292" i="1" l="1"/>
  <c r="AH292" i="1"/>
  <c r="A293" i="1"/>
  <c r="AF292" i="1"/>
  <c r="D293" i="1"/>
  <c r="AF291" i="1"/>
  <c r="AG293" i="1"/>
  <c r="A294" i="1"/>
  <c r="D294" i="1"/>
  <c r="A295" i="1"/>
  <c r="AG294" i="1"/>
  <c r="D295" i="1"/>
  <c r="AG295" i="1"/>
  <c r="AH295" i="1" l="1"/>
  <c r="AH294" i="1"/>
  <c r="B294" i="1" s="1"/>
  <c r="C294" i="1" s="1"/>
  <c r="AH293" i="1"/>
  <c r="AI293" i="1"/>
  <c r="AI294" i="1" s="1"/>
  <c r="AI295" i="1" s="1"/>
  <c r="AF295" i="1"/>
  <c r="A296" i="1"/>
  <c r="AG296" i="1"/>
  <c r="D296" i="1"/>
  <c r="AF293" i="1"/>
  <c r="AF294" i="1"/>
  <c r="AH296" i="1" l="1"/>
  <c r="AI296" i="1"/>
  <c r="AF296" i="1"/>
  <c r="A297" i="1"/>
  <c r="AG297" i="1" s="1"/>
  <c r="D297" i="1"/>
  <c r="A298" i="1"/>
  <c r="AH298" i="1" l="1"/>
  <c r="B298" i="1" s="1"/>
  <c r="C298" i="1" s="1"/>
  <c r="AH297" i="1"/>
  <c r="B297" i="1" s="1"/>
  <c r="C297" i="1" s="1"/>
  <c r="AI297" i="1"/>
  <c r="AF297" i="1"/>
  <c r="A299" i="1"/>
  <c r="D299" i="1"/>
  <c r="A300" i="1"/>
  <c r="D300" i="1"/>
  <c r="AG300" i="1"/>
  <c r="AG299" i="1"/>
  <c r="AI300" i="1" l="1"/>
  <c r="AH300" i="1"/>
  <c r="B300" i="1" s="1"/>
  <c r="C300" i="1" s="1"/>
  <c r="AF300" i="1"/>
  <c r="AF299" i="1"/>
  <c r="A301" i="1"/>
  <c r="AG301" i="1"/>
  <c r="A302" i="1"/>
  <c r="D302" i="1"/>
  <c r="AG302" i="1"/>
  <c r="D301" i="1"/>
  <c r="AH302" i="1" l="1"/>
  <c r="AH301" i="1"/>
  <c r="AI301" i="1"/>
  <c r="AI302" i="1" s="1"/>
  <c r="A303" i="1"/>
  <c r="D303" i="1"/>
  <c r="A304" i="1"/>
  <c r="D304" i="1"/>
  <c r="AG304" i="1"/>
  <c r="AF302" i="1"/>
  <c r="AF301" i="1"/>
  <c r="AG303" i="1"/>
  <c r="AH304" i="1" l="1"/>
  <c r="AH303" i="1"/>
  <c r="AI303" i="1"/>
  <c r="AI304" i="1" s="1"/>
  <c r="A305" i="1"/>
  <c r="D305" i="1"/>
  <c r="A306" i="1"/>
  <c r="D306" i="1"/>
  <c r="AF304" i="1"/>
  <c r="AF303" i="1"/>
  <c r="AG305" i="1"/>
  <c r="AG306" i="1"/>
  <c r="AH306" i="1" l="1"/>
  <c r="AH305" i="1"/>
  <c r="AI305" i="1"/>
  <c r="AI306" i="1" s="1"/>
  <c r="A307" i="1"/>
  <c r="D307" i="1"/>
  <c r="AG307" i="1"/>
  <c r="AF306" i="1"/>
  <c r="AF305" i="1"/>
  <c r="AH307" i="1" l="1"/>
  <c r="B307" i="1" s="1"/>
  <c r="C307" i="1" s="1"/>
  <c r="AI307" i="1"/>
  <c r="AF307" i="1"/>
  <c r="A308" i="1"/>
  <c r="AG308" i="1" s="1"/>
  <c r="D308" i="1"/>
  <c r="AH308" i="1" l="1"/>
  <c r="AI308" i="1"/>
  <c r="AF308" i="1"/>
  <c r="A309" i="1"/>
  <c r="AG309" i="1"/>
  <c r="A310" i="1"/>
  <c r="D309" i="1"/>
  <c r="A311" i="1"/>
  <c r="D311" i="1"/>
  <c r="AG311" i="1"/>
  <c r="A312" i="1"/>
  <c r="A313" i="1"/>
  <c r="AG313" i="1"/>
  <c r="D313" i="1"/>
  <c r="A314" i="1"/>
  <c r="D314" i="1"/>
  <c r="AG314" i="1"/>
  <c r="A315" i="1"/>
  <c r="A316" i="1"/>
  <c r="D316" i="1"/>
  <c r="AG316" i="1"/>
  <c r="A317" i="1"/>
  <c r="A318" i="1"/>
  <c r="AG318" i="1"/>
  <c r="D318" i="1"/>
  <c r="A319" i="1"/>
  <c r="A320" i="1"/>
  <c r="AG320" i="1"/>
  <c r="D320" i="1"/>
  <c r="A321" i="1"/>
  <c r="A322" i="1"/>
  <c r="D322" i="1"/>
  <c r="AG322" i="1"/>
  <c r="A323" i="1"/>
  <c r="A324" i="1"/>
  <c r="AG324" i="1"/>
  <c r="D324" i="1"/>
  <c r="A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D330" i="1"/>
  <c r="AG330" i="1"/>
  <c r="A331" i="1"/>
  <c r="A332" i="1"/>
  <c r="AG332" i="1"/>
  <c r="D332" i="1"/>
  <c r="A333" i="1"/>
  <c r="AG333" i="1"/>
  <c r="D333" i="1"/>
  <c r="A334" i="1"/>
  <c r="AG334" i="1"/>
  <c r="D334" i="1"/>
  <c r="A335" i="1"/>
  <c r="D335" i="1"/>
  <c r="AG335" i="1"/>
  <c r="A336" i="1"/>
  <c r="D336" i="1"/>
  <c r="AG336" i="1"/>
  <c r="A337" i="1"/>
  <c r="A338" i="1"/>
  <c r="AG338" i="1"/>
  <c r="D338" i="1"/>
  <c r="A339" i="1"/>
  <c r="D339" i="1"/>
  <c r="AG339" i="1"/>
  <c r="A340" i="1"/>
  <c r="AG340" i="1"/>
  <c r="D340" i="1"/>
  <c r="A341" i="1"/>
  <c r="AG341" i="1"/>
  <c r="D341" i="1"/>
  <c r="A342" i="1"/>
  <c r="AG342" i="1"/>
  <c r="D342" i="1"/>
  <c r="A343" i="1"/>
  <c r="D343" i="1"/>
  <c r="AG343" i="1"/>
  <c r="A344" i="1"/>
  <c r="D344" i="1"/>
  <c r="AG344" i="1"/>
  <c r="A345" i="1"/>
  <c r="AG345" i="1"/>
  <c r="D345" i="1"/>
  <c r="A346" i="1"/>
  <c r="D346" i="1"/>
  <c r="AG346" i="1"/>
  <c r="A347" i="1"/>
  <c r="D347" i="1"/>
  <c r="AG347" i="1"/>
  <c r="A348" i="1"/>
  <c r="D348" i="1"/>
  <c r="AG348" i="1"/>
  <c r="A349" i="1"/>
  <c r="A350" i="1"/>
  <c r="AG350" i="1"/>
  <c r="D350" i="1"/>
  <c r="A351" i="1"/>
  <c r="D351" i="1"/>
  <c r="AG351" i="1"/>
  <c r="A352" i="1"/>
  <c r="D352" i="1"/>
  <c r="AG352" i="1"/>
  <c r="A353" i="1"/>
  <c r="D353" i="1"/>
  <c r="AG353" i="1"/>
  <c r="A354" i="1"/>
  <c r="AG354" i="1"/>
  <c r="D354" i="1"/>
  <c r="A355" i="1"/>
  <c r="D355" i="1"/>
  <c r="AG355" i="1"/>
  <c r="A356" i="1"/>
  <c r="A357" i="1"/>
  <c r="AG357" i="1"/>
  <c r="D357" i="1"/>
  <c r="A358" i="1"/>
  <c r="AG358" i="1"/>
  <c r="D358" i="1"/>
  <c r="A359" i="1"/>
  <c r="AG359" i="1"/>
  <c r="D359" i="1"/>
  <c r="A360" i="1"/>
  <c r="AG360" i="1"/>
  <c r="D360" i="1"/>
  <c r="A361" i="1"/>
  <c r="AG361" i="1"/>
  <c r="D361" i="1"/>
  <c r="A362" i="1"/>
  <c r="AG362" i="1"/>
  <c r="D362" i="1"/>
  <c r="A363" i="1"/>
  <c r="D363" i="1"/>
  <c r="AG363" i="1"/>
  <c r="A364" i="1"/>
  <c r="AG364" i="1"/>
  <c r="D364" i="1"/>
  <c r="A365" i="1"/>
  <c r="D365" i="1"/>
  <c r="AG365" i="1"/>
  <c r="A366" i="1"/>
  <c r="D366" i="1"/>
  <c r="AG366" i="1"/>
  <c r="A367" i="1"/>
  <c r="AG367" i="1"/>
  <c r="D367" i="1"/>
  <c r="A368" i="1"/>
  <c r="A369" i="1"/>
  <c r="D369" i="1"/>
  <c r="AG369" i="1"/>
  <c r="A370" i="1"/>
  <c r="AG370" i="1"/>
  <c r="D370" i="1"/>
  <c r="A371" i="1"/>
  <c r="D371" i="1"/>
  <c r="AG371" i="1"/>
  <c r="A372" i="1"/>
  <c r="AG372" i="1"/>
  <c r="D372" i="1"/>
  <c r="A373" i="1"/>
  <c r="AG373" i="1"/>
  <c r="D373" i="1"/>
  <c r="A374" i="1"/>
  <c r="AG374" i="1"/>
  <c r="D374" i="1"/>
  <c r="A375" i="1"/>
  <c r="D375" i="1"/>
  <c r="AG375" i="1"/>
  <c r="A376" i="1"/>
  <c r="AG376" i="1"/>
  <c r="D376" i="1"/>
  <c r="A377" i="1"/>
  <c r="AG377" i="1"/>
  <c r="D377" i="1"/>
  <c r="A378" i="1"/>
  <c r="AG378" i="1"/>
  <c r="D378" i="1"/>
  <c r="A379" i="1"/>
  <c r="D379" i="1"/>
  <c r="AG379" i="1"/>
  <c r="A380" i="1"/>
  <c r="D380" i="1"/>
  <c r="AG380" i="1"/>
  <c r="A381" i="1"/>
  <c r="A382" i="1"/>
  <c r="D382" i="1"/>
  <c r="AG382" i="1"/>
  <c r="A383" i="1"/>
  <c r="AG383" i="1"/>
  <c r="D383" i="1"/>
  <c r="A384" i="1"/>
  <c r="A385" i="1"/>
  <c r="D385" i="1"/>
  <c r="AG385" i="1"/>
  <c r="A386" i="1"/>
  <c r="D386" i="1"/>
  <c r="AG386" i="1"/>
  <c r="A387" i="1"/>
  <c r="AG387" i="1"/>
  <c r="D387" i="1"/>
  <c r="A388" i="1"/>
  <c r="A389" i="1"/>
  <c r="D389" i="1"/>
  <c r="AG389" i="1"/>
  <c r="A390" i="1"/>
  <c r="D390" i="1"/>
  <c r="AG390" i="1"/>
  <c r="A391" i="1"/>
  <c r="AH391" i="1" l="1"/>
  <c r="AI390" i="1"/>
  <c r="AH390" i="1"/>
  <c r="AH388" i="1"/>
  <c r="AH387" i="1"/>
  <c r="AI386" i="1"/>
  <c r="AI387" i="1" s="1"/>
  <c r="AH386" i="1"/>
  <c r="B386" i="1" s="1"/>
  <c r="C386" i="1" s="1"/>
  <c r="AH384" i="1"/>
  <c r="AI383" i="1"/>
  <c r="AH383" i="1"/>
  <c r="B383" i="1" s="1"/>
  <c r="C383" i="1" s="1"/>
  <c r="AH381" i="1"/>
  <c r="AH380" i="1"/>
  <c r="AH379" i="1"/>
  <c r="AH378" i="1"/>
  <c r="AH377" i="1"/>
  <c r="B377" i="1" s="1"/>
  <c r="C377" i="1" s="1"/>
  <c r="AH376" i="1"/>
  <c r="AH375" i="1"/>
  <c r="AH374" i="1"/>
  <c r="AH373" i="1"/>
  <c r="AH372" i="1"/>
  <c r="AH371" i="1"/>
  <c r="AI370" i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H370" i="1"/>
  <c r="AH368" i="1"/>
  <c r="AH367" i="1"/>
  <c r="AH366" i="1"/>
  <c r="AH365" i="1"/>
  <c r="AH364" i="1"/>
  <c r="B364" i="1" s="1"/>
  <c r="C364" i="1" s="1"/>
  <c r="AH363" i="1"/>
  <c r="AH362" i="1"/>
  <c r="B362" i="1" s="1"/>
  <c r="C362" i="1" s="1"/>
  <c r="AH361" i="1"/>
  <c r="AH360" i="1"/>
  <c r="AH359" i="1"/>
  <c r="AI358" i="1"/>
  <c r="AI359" i="1" s="1"/>
  <c r="AI360" i="1" s="1"/>
  <c r="AI361" i="1" s="1"/>
  <c r="AI362" i="1" s="1"/>
  <c r="AI363" i="1" s="1"/>
  <c r="AI364" i="1" s="1"/>
  <c r="AI365" i="1" s="1"/>
  <c r="AI366" i="1" s="1"/>
  <c r="AI367" i="1" s="1"/>
  <c r="AH358" i="1"/>
  <c r="AH356" i="1"/>
  <c r="AH355" i="1"/>
  <c r="B355" i="1" s="1"/>
  <c r="C355" i="1" s="1"/>
  <c r="AH354" i="1"/>
  <c r="AH353" i="1"/>
  <c r="B353" i="1" s="1"/>
  <c r="C353" i="1" s="1"/>
  <c r="AH352" i="1"/>
  <c r="AI351" i="1"/>
  <c r="AI352" i="1" s="1"/>
  <c r="AI353" i="1" s="1"/>
  <c r="AI354" i="1" s="1"/>
  <c r="AI355" i="1" s="1"/>
  <c r="AH351" i="1"/>
  <c r="AH349" i="1"/>
  <c r="AH348" i="1"/>
  <c r="B348" i="1" s="1"/>
  <c r="C348" i="1" s="1"/>
  <c r="AH347" i="1"/>
  <c r="AH346" i="1"/>
  <c r="B346" i="1" s="1"/>
  <c r="C346" i="1" s="1"/>
  <c r="AH345" i="1"/>
  <c r="AH344" i="1"/>
  <c r="AH343" i="1"/>
  <c r="AH342" i="1"/>
  <c r="AH341" i="1"/>
  <c r="AH340" i="1"/>
  <c r="AI339" i="1"/>
  <c r="AI340" i="1" s="1"/>
  <c r="AI341" i="1" s="1"/>
  <c r="AI342" i="1" s="1"/>
  <c r="AI343" i="1" s="1"/>
  <c r="AI344" i="1" s="1"/>
  <c r="AI345" i="1" s="1"/>
  <c r="AI346" i="1" s="1"/>
  <c r="AI347" i="1" s="1"/>
  <c r="AI348" i="1" s="1"/>
  <c r="AH339" i="1"/>
  <c r="AH337" i="1"/>
  <c r="AH336" i="1"/>
  <c r="AH335" i="1"/>
  <c r="AH334" i="1"/>
  <c r="AI333" i="1"/>
  <c r="AI334" i="1" s="1"/>
  <c r="AI335" i="1" s="1"/>
  <c r="AI336" i="1" s="1"/>
  <c r="AH333" i="1"/>
  <c r="AH331" i="1"/>
  <c r="AH330" i="1"/>
  <c r="AH329" i="1"/>
  <c r="AH328" i="1"/>
  <c r="AI327" i="1"/>
  <c r="AI328" i="1" s="1"/>
  <c r="AI329" i="1" s="1"/>
  <c r="AI330" i="1" s="1"/>
  <c r="AH327" i="1"/>
  <c r="AH325" i="1"/>
  <c r="AH323" i="1"/>
  <c r="AH321" i="1"/>
  <c r="AH319" i="1"/>
  <c r="AH317" i="1"/>
  <c r="AH315" i="1"/>
  <c r="AI314" i="1"/>
  <c r="AH314" i="1"/>
  <c r="AH312" i="1"/>
  <c r="AH310" i="1"/>
  <c r="B310" i="1" s="1"/>
  <c r="C310" i="1" s="1"/>
  <c r="AH309" i="1"/>
  <c r="AI309" i="1"/>
  <c r="A392" i="1"/>
  <c r="AF385" i="1"/>
  <c r="AF357" i="1"/>
  <c r="AF354" i="1"/>
  <c r="AF352" i="1"/>
  <c r="AF342" i="1"/>
  <c r="AF340" i="1"/>
  <c r="AF333" i="1"/>
  <c r="AF330" i="1"/>
  <c r="AF328" i="1"/>
  <c r="AF311" i="1"/>
  <c r="AF389" i="1"/>
  <c r="AF386" i="1"/>
  <c r="AF382" i="1"/>
  <c r="AF379" i="1"/>
  <c r="AF377" i="1"/>
  <c r="AF375" i="1"/>
  <c r="AF373" i="1"/>
  <c r="AF371" i="1"/>
  <c r="AF369" i="1"/>
  <c r="AF366" i="1"/>
  <c r="AF364" i="1"/>
  <c r="AF362" i="1"/>
  <c r="AF360" i="1"/>
  <c r="AF350" i="1"/>
  <c r="AF347" i="1"/>
  <c r="AF345" i="1"/>
  <c r="AF336" i="1"/>
  <c r="AF322" i="1"/>
  <c r="AF314" i="1"/>
  <c r="AF390" i="1"/>
  <c r="AF358" i="1"/>
  <c r="AF355" i="1"/>
  <c r="AF353" i="1"/>
  <c r="AF351" i="1"/>
  <c r="AF341" i="1"/>
  <c r="AF339" i="1"/>
  <c r="AF332" i="1"/>
  <c r="AF329" i="1"/>
  <c r="AF313" i="1"/>
  <c r="AF309" i="1"/>
  <c r="AF387" i="1"/>
  <c r="AF383" i="1"/>
  <c r="AF380" i="1"/>
  <c r="AF378" i="1"/>
  <c r="AF376" i="1"/>
  <c r="AF374" i="1"/>
  <c r="AF372" i="1"/>
  <c r="AF370" i="1"/>
  <c r="AF367" i="1"/>
  <c r="AF365" i="1"/>
  <c r="AF363" i="1"/>
  <c r="AF361" i="1"/>
  <c r="AF359" i="1"/>
  <c r="AF348" i="1"/>
  <c r="AF346" i="1"/>
  <c r="AF344" i="1"/>
  <c r="AF338" i="1"/>
  <c r="AF335" i="1"/>
  <c r="AF327" i="1"/>
  <c r="AF324" i="1"/>
  <c r="AF320" i="1"/>
  <c r="AF316" i="1"/>
  <c r="D392" i="1"/>
  <c r="A393" i="1"/>
  <c r="AG393" i="1" s="1"/>
  <c r="D393" i="1"/>
  <c r="AF343" i="1"/>
  <c r="AF334" i="1"/>
  <c r="AF326" i="1"/>
  <c r="AF318" i="1"/>
  <c r="AG392" i="1"/>
  <c r="AI393" i="1" l="1"/>
  <c r="AH393" i="1"/>
  <c r="AF393" i="1"/>
  <c r="AF392" i="1"/>
  <c r="A394" i="1"/>
  <c r="A395" i="1"/>
  <c r="D395" i="1" s="1"/>
  <c r="AG395" i="1"/>
  <c r="AH394" i="1" l="1"/>
  <c r="A396" i="1"/>
  <c r="D396" i="1"/>
  <c r="AF395" i="1"/>
  <c r="AG396" i="1"/>
  <c r="A397" i="1"/>
  <c r="D397" i="1" s="1"/>
  <c r="AG397" i="1"/>
  <c r="AH397" i="1" l="1"/>
  <c r="AI396" i="1"/>
  <c r="AI397" i="1" s="1"/>
  <c r="AH396" i="1"/>
  <c r="AF397" i="1"/>
  <c r="AF396" i="1"/>
  <c r="A398" i="1"/>
  <c r="D398" i="1"/>
  <c r="AG398" i="1"/>
  <c r="A399" i="1"/>
  <c r="AH399" i="1" l="1"/>
  <c r="AH398" i="1"/>
  <c r="AI398" i="1"/>
  <c r="A400" i="1"/>
  <c r="D400" i="1"/>
  <c r="A401" i="1"/>
  <c r="AF398" i="1"/>
  <c r="AG400" i="1"/>
  <c r="AH401" i="1" l="1"/>
  <c r="AF400" i="1"/>
  <c r="A402" i="1"/>
  <c r="D402" i="1" s="1"/>
  <c r="AG402" i="1"/>
  <c r="A403" i="1"/>
  <c r="AH403" i="1" l="1"/>
  <c r="AF402" i="1"/>
  <c r="A404" i="1"/>
  <c r="D404" i="1"/>
  <c r="A405" i="1"/>
  <c r="AG405" i="1"/>
  <c r="D405" i="1"/>
  <c r="AG404" i="1"/>
  <c r="AI405" i="1" l="1"/>
  <c r="AH405" i="1"/>
  <c r="A406" i="1"/>
  <c r="AF405" i="1"/>
  <c r="AF404" i="1"/>
  <c r="A407" i="1"/>
  <c r="AG407" i="1" s="1"/>
  <c r="D407" i="1"/>
  <c r="AH406" i="1" l="1"/>
  <c r="A408" i="1"/>
  <c r="A409" i="1"/>
  <c r="D409" i="1" s="1"/>
  <c r="AG409" i="1"/>
  <c r="AF407" i="1"/>
  <c r="AH408" i="1" l="1"/>
  <c r="A410" i="1"/>
  <c r="D410" i="1"/>
  <c r="A411" i="1"/>
  <c r="AF409" i="1"/>
  <c r="AG410" i="1"/>
  <c r="AH411" i="1" l="1"/>
  <c r="AI410" i="1"/>
  <c r="AH410" i="1"/>
  <c r="AF410" i="1"/>
  <c r="A412" i="1"/>
  <c r="D412" i="1"/>
  <c r="A413" i="1"/>
  <c r="AG413" i="1"/>
  <c r="D413" i="1"/>
  <c r="AG412" i="1"/>
  <c r="AI413" i="1" l="1"/>
  <c r="AH413" i="1"/>
  <c r="A414" i="1"/>
  <c r="AF413" i="1"/>
  <c r="D414" i="1"/>
  <c r="AF412" i="1"/>
  <c r="AG414" i="1"/>
  <c r="A415" i="1"/>
  <c r="D415" i="1"/>
  <c r="AG415" i="1"/>
  <c r="AH415" i="1" l="1"/>
  <c r="AH414" i="1"/>
  <c r="AI414" i="1"/>
  <c r="AI415" i="1" s="1"/>
  <c r="A416" i="1"/>
  <c r="D416" i="1"/>
  <c r="A417" i="1"/>
  <c r="AG417" i="1"/>
  <c r="AF415" i="1"/>
  <c r="AF414" i="1"/>
  <c r="AG416" i="1"/>
  <c r="D417" i="1"/>
  <c r="A418" i="1"/>
  <c r="D418" i="1"/>
  <c r="A419" i="1"/>
  <c r="AG418" i="1"/>
  <c r="A420" i="1"/>
  <c r="AG420" i="1"/>
  <c r="D420" i="1"/>
  <c r="A421" i="1"/>
  <c r="AG421" i="1"/>
  <c r="D421" i="1"/>
  <c r="A422" i="1"/>
  <c r="AG422" i="1"/>
  <c r="D422" i="1"/>
  <c r="A423" i="1"/>
  <c r="AG423" i="1"/>
  <c r="D423" i="1"/>
  <c r="A424" i="1"/>
  <c r="AG424" i="1"/>
  <c r="D424" i="1"/>
  <c r="A425" i="1"/>
  <c r="D425" i="1"/>
  <c r="AG425" i="1"/>
  <c r="A426" i="1"/>
  <c r="A427" i="1"/>
  <c r="AG427" i="1"/>
  <c r="D427" i="1"/>
  <c r="A428" i="1"/>
  <c r="D428" i="1"/>
  <c r="AG428" i="1"/>
  <c r="A429" i="1"/>
  <c r="A430" i="1"/>
  <c r="AG430" i="1"/>
  <c r="D430" i="1"/>
  <c r="A431" i="1"/>
  <c r="A432" i="1"/>
  <c r="D432" i="1"/>
  <c r="AG432" i="1"/>
  <c r="A433" i="1"/>
  <c r="A434" i="1"/>
  <c r="D434" i="1"/>
  <c r="A435" i="1"/>
  <c r="A436" i="1"/>
  <c r="AG436" i="1"/>
  <c r="A437" i="1"/>
  <c r="D437" i="1"/>
  <c r="AG437" i="1"/>
  <c r="A438" i="1"/>
  <c r="AH438" i="1" l="1"/>
  <c r="AI437" i="1"/>
  <c r="AH437" i="1"/>
  <c r="AH435" i="1"/>
  <c r="AH433" i="1"/>
  <c r="AH431" i="1"/>
  <c r="AH429" i="1"/>
  <c r="AI428" i="1"/>
  <c r="AH428" i="1"/>
  <c r="AH426" i="1"/>
  <c r="AH425" i="1"/>
  <c r="AH424" i="1"/>
  <c r="AH423" i="1"/>
  <c r="AH422" i="1"/>
  <c r="AI421" i="1"/>
  <c r="AI422" i="1" s="1"/>
  <c r="AI423" i="1" s="1"/>
  <c r="AI424" i="1" s="1"/>
  <c r="AI425" i="1" s="1"/>
  <c r="AH421" i="1"/>
  <c r="AH419" i="1"/>
  <c r="AH418" i="1"/>
  <c r="AH417" i="1"/>
  <c r="AH416" i="1"/>
  <c r="AI416" i="1"/>
  <c r="AI417" i="1" s="1"/>
  <c r="AI418" i="1" s="1"/>
  <c r="AF437" i="1"/>
  <c r="AF432" i="1"/>
  <c r="AF428" i="1"/>
  <c r="AF420" i="1"/>
  <c r="AF417" i="1"/>
  <c r="D436" i="1"/>
  <c r="AF427" i="1"/>
  <c r="AF424" i="1"/>
  <c r="AF422" i="1"/>
  <c r="A439" i="1"/>
  <c r="AG434" i="1"/>
  <c r="AF430" i="1"/>
  <c r="AF421" i="1"/>
  <c r="AF418" i="1"/>
  <c r="AF416" i="1"/>
  <c r="AF434" i="1"/>
  <c r="AF425" i="1"/>
  <c r="AF423" i="1"/>
  <c r="AG439" i="1"/>
  <c r="A440" i="1"/>
  <c r="A441" i="1" s="1"/>
  <c r="D440" i="1"/>
  <c r="D441" i="1"/>
  <c r="A442" i="1"/>
  <c r="A443" i="1" s="1"/>
  <c r="AG442" i="1"/>
  <c r="D443" i="1"/>
  <c r="A444" i="1"/>
  <c r="A445" i="1" s="1"/>
  <c r="D445" i="1"/>
  <c r="A446" i="1"/>
  <c r="A447" i="1" s="1"/>
  <c r="AG446" i="1"/>
  <c r="AG447" i="1"/>
  <c r="A448" i="1"/>
  <c r="A449" i="1" s="1"/>
  <c r="D448" i="1"/>
  <c r="A450" i="1"/>
  <c r="A451" i="1" s="1"/>
  <c r="AG450" i="1"/>
  <c r="D451" i="1"/>
  <c r="A452" i="1"/>
  <c r="A453" i="1" s="1"/>
  <c r="AG452" i="1"/>
  <c r="D453" i="1"/>
  <c r="A454" i="1"/>
  <c r="A455" i="1" s="1"/>
  <c r="AG454" i="1"/>
  <c r="D455" i="1"/>
  <c r="A456" i="1"/>
  <c r="A457" i="1" s="1"/>
  <c r="D456" i="1"/>
  <c r="AG457" i="1"/>
  <c r="A458" i="1"/>
  <c r="A459" i="1" s="1"/>
  <c r="AG459" i="1"/>
  <c r="A460" i="1"/>
  <c r="A461" i="1" s="1"/>
  <c r="AG460" i="1"/>
  <c r="A462" i="1"/>
  <c r="A463" i="1" s="1"/>
  <c r="D462" i="1"/>
  <c r="A464" i="1"/>
  <c r="A465" i="1" s="1"/>
  <c r="D464" i="1"/>
  <c r="D465" i="1"/>
  <c r="A466" i="1"/>
  <c r="A467" i="1" s="1"/>
  <c r="D466" i="1"/>
  <c r="AG467" i="1"/>
  <c r="A468" i="1"/>
  <c r="A469" i="1" s="1"/>
  <c r="AG468" i="1"/>
  <c r="D469" i="1"/>
  <c r="A470" i="1"/>
  <c r="A471" i="1" s="1"/>
  <c r="AG470" i="1"/>
  <c r="AG471" i="1"/>
  <c r="A472" i="1"/>
  <c r="A473" i="1" s="1"/>
  <c r="D472" i="1"/>
  <c r="D473" i="1"/>
  <c r="A474" i="1"/>
  <c r="A475" i="1" s="1"/>
  <c r="D475" i="1"/>
  <c r="A476" i="1"/>
  <c r="A477" i="1" s="1"/>
  <c r="D477" i="1"/>
  <c r="A478" i="1"/>
  <c r="A479" i="1" s="1"/>
  <c r="A480" i="1" s="1"/>
  <c r="AG479" i="1"/>
  <c r="AG480" i="1"/>
  <c r="A481" i="1"/>
  <c r="A482" i="1" s="1"/>
  <c r="AG482" i="1"/>
  <c r="A483" i="1"/>
  <c r="A484" i="1" s="1"/>
  <c r="AG484" i="1"/>
  <c r="A485" i="1"/>
  <c r="A486" i="1" s="1"/>
  <c r="A487" i="1" s="1"/>
  <c r="AG486" i="1"/>
  <c r="A488" i="1"/>
  <c r="A489" i="1"/>
  <c r="A490" i="1" s="1"/>
  <c r="D489" i="1"/>
  <c r="A491" i="1"/>
  <c r="A492" i="1" s="1"/>
  <c r="AG491" i="1"/>
  <c r="AG492" i="1"/>
  <c r="A493" i="1"/>
  <c r="A494" i="1" s="1"/>
  <c r="D493" i="1"/>
  <c r="AG494" i="1"/>
  <c r="A495" i="1"/>
  <c r="A496" i="1" s="1"/>
  <c r="AG495" i="1"/>
  <c r="D496" i="1"/>
  <c r="A497" i="1"/>
  <c r="A498" i="1" s="1"/>
  <c r="D497" i="1"/>
  <c r="AG498" i="1"/>
  <c r="A499" i="1"/>
  <c r="A500" i="1" s="1"/>
  <c r="AG500" i="1"/>
  <c r="A501" i="1"/>
  <c r="A502" i="1" s="1"/>
  <c r="D501" i="1"/>
  <c r="A503" i="1"/>
  <c r="A504" i="1" s="1"/>
  <c r="AG503" i="1"/>
  <c r="A505" i="1"/>
  <c r="A506" i="1" s="1"/>
  <c r="D505" i="1"/>
  <c r="AG506" i="1"/>
  <c r="A507" i="1"/>
  <c r="A508" i="1" s="1"/>
  <c r="D507" i="1"/>
  <c r="D508" i="1"/>
  <c r="A509" i="1"/>
  <c r="A510" i="1" s="1"/>
  <c r="D509" i="1"/>
  <c r="AG510" i="1"/>
  <c r="A511" i="1"/>
  <c r="A512" i="1" s="1"/>
  <c r="D511" i="1"/>
  <c r="A513" i="1"/>
  <c r="A514" i="1" s="1"/>
  <c r="D513" i="1"/>
  <c r="D514" i="1"/>
  <c r="A515" i="1"/>
  <c r="A516" i="1" s="1"/>
  <c r="D515" i="1"/>
  <c r="AG516" i="1"/>
  <c r="A517" i="1"/>
  <c r="AG517" i="1"/>
  <c r="D516" i="1"/>
  <c r="A518" i="1"/>
  <c r="AG518" i="1"/>
  <c r="D517" i="1"/>
  <c r="AG515" i="1"/>
  <c r="AG514" i="1"/>
  <c r="AG513" i="1"/>
  <c r="AG511" i="1"/>
  <c r="D510" i="1"/>
  <c r="AG509" i="1"/>
  <c r="AG508" i="1"/>
  <c r="AG507" i="1"/>
  <c r="D506" i="1"/>
  <c r="AG505" i="1"/>
  <c r="D503" i="1"/>
  <c r="AG501" i="1"/>
  <c r="D500" i="1"/>
  <c r="D498" i="1"/>
  <c r="AG497" i="1"/>
  <c r="AG496" i="1"/>
  <c r="D495" i="1"/>
  <c r="D494" i="1"/>
  <c r="AG493" i="1"/>
  <c r="D492" i="1"/>
  <c r="D491" i="1"/>
  <c r="AG489" i="1"/>
  <c r="D488" i="1"/>
  <c r="D484" i="1"/>
  <c r="D482" i="1"/>
  <c r="D480" i="1"/>
  <c r="AG477" i="1"/>
  <c r="AG475" i="1"/>
  <c r="AG473" i="1"/>
  <c r="AG472" i="1"/>
  <c r="D471" i="1"/>
  <c r="D470" i="1"/>
  <c r="AG469" i="1"/>
  <c r="D468" i="1"/>
  <c r="D467" i="1"/>
  <c r="AG466" i="1"/>
  <c r="AG465" i="1"/>
  <c r="AG464" i="1"/>
  <c r="AG462" i="1"/>
  <c r="D460" i="1"/>
  <c r="D459" i="1"/>
  <c r="D457" i="1"/>
  <c r="AG456" i="1"/>
  <c r="AG455" i="1"/>
  <c r="D454" i="1"/>
  <c r="AG453" i="1"/>
  <c r="D452" i="1"/>
  <c r="AG451" i="1"/>
  <c r="D450" i="1"/>
  <c r="AG448" i="1"/>
  <c r="D447" i="1"/>
  <c r="D446" i="1"/>
  <c r="AG445" i="1"/>
  <c r="AG443" i="1"/>
  <c r="D442" i="1"/>
  <c r="AG441" i="1"/>
  <c r="AG440" i="1"/>
  <c r="D439" i="1"/>
  <c r="A519" i="1"/>
  <c r="D518" i="1"/>
  <c r="AG519" i="1"/>
  <c r="D519" i="1"/>
  <c r="A520" i="1"/>
  <c r="D520" i="1"/>
  <c r="AG520" i="1"/>
  <c r="A521" i="1"/>
  <c r="AG521" i="1"/>
  <c r="D521" i="1"/>
  <c r="A522" i="1"/>
  <c r="A523" i="1"/>
  <c r="AG523" i="1"/>
  <c r="D523" i="1"/>
  <c r="AH512" i="1" l="1"/>
  <c r="B512" i="1" s="1"/>
  <c r="C512" i="1" s="1"/>
  <c r="AH511" i="1"/>
  <c r="AH510" i="1"/>
  <c r="AH509" i="1"/>
  <c r="AH508" i="1"/>
  <c r="AH507" i="1"/>
  <c r="AI506" i="1"/>
  <c r="AI507" i="1" s="1"/>
  <c r="AI508" i="1" s="1"/>
  <c r="AI509" i="1" s="1"/>
  <c r="AI510" i="1" s="1"/>
  <c r="AI511" i="1" s="1"/>
  <c r="AH506" i="1"/>
  <c r="B506" i="1" s="1"/>
  <c r="C506" i="1" s="1"/>
  <c r="AH504" i="1"/>
  <c r="B504" i="1" s="1"/>
  <c r="C504" i="1" s="1"/>
  <c r="AH502" i="1"/>
  <c r="B502" i="1" s="1"/>
  <c r="C502" i="1" s="1"/>
  <c r="AI501" i="1"/>
  <c r="AH501" i="1"/>
  <c r="AH499" i="1"/>
  <c r="B499" i="1" s="1"/>
  <c r="C499" i="1" s="1"/>
  <c r="AH498" i="1"/>
  <c r="AH497" i="1"/>
  <c r="AH496" i="1"/>
  <c r="AH495" i="1"/>
  <c r="AH494" i="1"/>
  <c r="B494" i="1" s="1"/>
  <c r="C494" i="1" s="1"/>
  <c r="AH493" i="1"/>
  <c r="AI492" i="1"/>
  <c r="AI493" i="1" s="1"/>
  <c r="AI494" i="1" s="1"/>
  <c r="AI495" i="1" s="1"/>
  <c r="AI496" i="1" s="1"/>
  <c r="AI497" i="1" s="1"/>
  <c r="AI498" i="1" s="1"/>
  <c r="AH492" i="1"/>
  <c r="AH490" i="1"/>
  <c r="AI489" i="1"/>
  <c r="AH489" i="1"/>
  <c r="AH487" i="1"/>
  <c r="AH485" i="1"/>
  <c r="AH483" i="1"/>
  <c r="AH481" i="1"/>
  <c r="AI480" i="1"/>
  <c r="AH480" i="1"/>
  <c r="AH478" i="1"/>
  <c r="AH476" i="1"/>
  <c r="B476" i="1" s="1"/>
  <c r="C476" i="1" s="1"/>
  <c r="AH474" i="1"/>
  <c r="B474" i="1" s="1"/>
  <c r="C474" i="1" s="1"/>
  <c r="AH473" i="1"/>
  <c r="AH472" i="1"/>
  <c r="AH471" i="1"/>
  <c r="AH470" i="1"/>
  <c r="AH469" i="1"/>
  <c r="AH468" i="1"/>
  <c r="B468" i="1" s="1"/>
  <c r="C468" i="1" s="1"/>
  <c r="AH467" i="1"/>
  <c r="AH466" i="1"/>
  <c r="B466" i="1" s="1"/>
  <c r="C466" i="1" s="1"/>
  <c r="AI465" i="1"/>
  <c r="AI466" i="1" s="1"/>
  <c r="AI467" i="1" s="1"/>
  <c r="AI468" i="1" s="1"/>
  <c r="AI469" i="1" s="1"/>
  <c r="AI470" i="1" s="1"/>
  <c r="AI471" i="1" s="1"/>
  <c r="AI472" i="1" s="1"/>
  <c r="AI473" i="1" s="1"/>
  <c r="AH465" i="1"/>
  <c r="AH463" i="1"/>
  <c r="AH461" i="1"/>
  <c r="AI460" i="1"/>
  <c r="AH460" i="1"/>
  <c r="AH458" i="1"/>
  <c r="AH457" i="1"/>
  <c r="B457" i="1" s="1"/>
  <c r="C457" i="1" s="1"/>
  <c r="AH456" i="1"/>
  <c r="AH455" i="1"/>
  <c r="B455" i="1" s="1"/>
  <c r="C455" i="1" s="1"/>
  <c r="AH454" i="1"/>
  <c r="AH453" i="1"/>
  <c r="B453" i="1" s="1"/>
  <c r="C453" i="1" s="1"/>
  <c r="AH452" i="1"/>
  <c r="AI451" i="1"/>
  <c r="AI452" i="1" s="1"/>
  <c r="AI453" i="1" s="1"/>
  <c r="AI454" i="1" s="1"/>
  <c r="AI455" i="1" s="1"/>
  <c r="AI456" i="1" s="1"/>
  <c r="AI457" i="1" s="1"/>
  <c r="AH451" i="1"/>
  <c r="B451" i="1" s="1"/>
  <c r="C451" i="1" s="1"/>
  <c r="AH449" i="1"/>
  <c r="AH448" i="1"/>
  <c r="AH447" i="1"/>
  <c r="AI446" i="1"/>
  <c r="AI447" i="1" s="1"/>
  <c r="AI448" i="1" s="1"/>
  <c r="AH446" i="1"/>
  <c r="AH444" i="1"/>
  <c r="AH443" i="1"/>
  <c r="AH442" i="1"/>
  <c r="AH441" i="1"/>
  <c r="AI440" i="1"/>
  <c r="AI441" i="1" s="1"/>
  <c r="AI442" i="1" s="1"/>
  <c r="AI443" i="1" s="1"/>
  <c r="AH440" i="1"/>
  <c r="AI514" i="1"/>
  <c r="AI515" i="1" s="1"/>
  <c r="AI516" i="1" s="1"/>
  <c r="AI517" i="1" s="1"/>
  <c r="AI518" i="1" s="1"/>
  <c r="AI519" i="1" s="1"/>
  <c r="AI520" i="1" s="1"/>
  <c r="AI521" i="1" s="1"/>
  <c r="AH522" i="1"/>
  <c r="AH521" i="1"/>
  <c r="AH520" i="1"/>
  <c r="AH519" i="1"/>
  <c r="AH518" i="1"/>
  <c r="B518" i="1" s="1"/>
  <c r="C518" i="1" s="1"/>
  <c r="AH517" i="1"/>
  <c r="AH516" i="1"/>
  <c r="AH515" i="1"/>
  <c r="AH514" i="1"/>
  <c r="AF511" i="1"/>
  <c r="AF509" i="1"/>
  <c r="AF507" i="1"/>
  <c r="AF500" i="1"/>
  <c r="AF497" i="1"/>
  <c r="AF495" i="1"/>
  <c r="AF493" i="1"/>
  <c r="AF488" i="1"/>
  <c r="AF477" i="1"/>
  <c r="AF473" i="1"/>
  <c r="AF471" i="1"/>
  <c r="AF469" i="1"/>
  <c r="AF467" i="1"/>
  <c r="AF460" i="1"/>
  <c r="AF456" i="1"/>
  <c r="AF452" i="1"/>
  <c r="AF443" i="1"/>
  <c r="AF436" i="1"/>
  <c r="AF523" i="1"/>
  <c r="AF503" i="1"/>
  <c r="AF491" i="1"/>
  <c r="AG488" i="1"/>
  <c r="AF484" i="1"/>
  <c r="AF480" i="1"/>
  <c r="AF451" i="1"/>
  <c r="AF439" i="1"/>
  <c r="AF515" i="1"/>
  <c r="AF453" i="1"/>
  <c r="AF517" i="1"/>
  <c r="AF513" i="1"/>
  <c r="AF510" i="1"/>
  <c r="AF508" i="1"/>
  <c r="AF506" i="1"/>
  <c r="AF498" i="1"/>
  <c r="AF496" i="1"/>
  <c r="AF494" i="1"/>
  <c r="AF492" i="1"/>
  <c r="D479" i="1"/>
  <c r="AF475" i="1"/>
  <c r="AF472" i="1"/>
  <c r="AF470" i="1"/>
  <c r="AF468" i="1"/>
  <c r="AF466" i="1"/>
  <c r="AF459" i="1"/>
  <c r="AF454" i="1"/>
  <c r="AF446" i="1"/>
  <c r="AF441" i="1"/>
  <c r="AF514" i="1"/>
  <c r="AF505" i="1"/>
  <c r="AF501" i="1"/>
  <c r="AF489" i="1"/>
  <c r="D486" i="1"/>
  <c r="AF482" i="1"/>
  <c r="AF465" i="1"/>
  <c r="AF462" i="1"/>
  <c r="AF450" i="1"/>
  <c r="AF447" i="1"/>
  <c r="AF516" i="1"/>
  <c r="AF519" i="1"/>
  <c r="AF521" i="1"/>
  <c r="AF455" i="1"/>
  <c r="AF445" i="1"/>
  <c r="AF440" i="1"/>
  <c r="AF518" i="1"/>
  <c r="AF464" i="1"/>
  <c r="AF448" i="1"/>
  <c r="AF520" i="1"/>
  <c r="AF457" i="1"/>
  <c r="AF442" i="1"/>
  <c r="A524" i="1"/>
  <c r="A525" i="1"/>
  <c r="A526" i="1"/>
  <c r="AG526" i="1"/>
  <c r="D524" i="1"/>
  <c r="AG524" i="1"/>
  <c r="D526" i="1"/>
  <c r="AI524" i="1" l="1"/>
  <c r="AH525" i="1"/>
  <c r="AH524" i="1"/>
  <c r="AF524" i="1"/>
  <c r="AF526" i="1"/>
  <c r="AF486" i="1"/>
  <c r="AF479" i="1"/>
  <c r="A527" i="1"/>
  <c r="A528" i="1"/>
  <c r="D528" i="1"/>
  <c r="AG528" i="1"/>
  <c r="AG527" i="1"/>
  <c r="A529" i="1"/>
  <c r="A530" i="1"/>
  <c r="A531" i="1" s="1"/>
  <c r="A532" i="1" s="1"/>
  <c r="AG530" i="1"/>
  <c r="AG532" i="1"/>
  <c r="D529" i="1"/>
  <c r="D527" i="1"/>
  <c r="D532" i="1"/>
  <c r="D530" i="1"/>
  <c r="AG529" i="1"/>
  <c r="AI527" i="1" l="1"/>
  <c r="AI528" i="1" s="1"/>
  <c r="AI529" i="1" s="1"/>
  <c r="AI530" i="1" s="1"/>
  <c r="AH531" i="1"/>
  <c r="AH530" i="1"/>
  <c r="AH529" i="1"/>
  <c r="AH528" i="1"/>
  <c r="AH527" i="1"/>
  <c r="A61" i="2" l="1"/>
  <c r="A62" i="2"/>
  <c r="A63" i="2"/>
  <c r="A64" i="2"/>
  <c r="A65" i="2"/>
  <c r="A66" i="2"/>
  <c r="A67" i="2"/>
  <c r="A68" i="2"/>
  <c r="R68" i="2" l="1"/>
  <c r="G68" i="2"/>
  <c r="G67" i="2"/>
  <c r="R67" i="2"/>
  <c r="R66" i="2"/>
  <c r="G66" i="2"/>
  <c r="G65" i="2"/>
  <c r="R65" i="2"/>
  <c r="R64" i="2"/>
  <c r="G64" i="2"/>
  <c r="G63" i="2"/>
  <c r="R63" i="2"/>
  <c r="G62" i="2"/>
  <c r="R62" i="2"/>
  <c r="R61" i="2"/>
  <c r="G61" i="2"/>
  <c r="B68" i="2"/>
  <c r="I68" i="2"/>
  <c r="I67" i="2"/>
  <c r="B67" i="2"/>
  <c r="H67" i="2"/>
  <c r="I66" i="2"/>
  <c r="F66" i="2"/>
  <c r="H65" i="2"/>
  <c r="F65" i="2"/>
  <c r="C65" i="2"/>
  <c r="I64" i="2"/>
  <c r="H64" i="2"/>
  <c r="I63" i="2"/>
  <c r="H63" i="2"/>
  <c r="F63" i="2"/>
  <c r="C62" i="2"/>
  <c r="B61" i="2"/>
  <c r="C61" i="2"/>
  <c r="H61" i="2"/>
  <c r="I61" i="2"/>
  <c r="H68" i="2"/>
  <c r="F68" i="2"/>
  <c r="C68" i="2"/>
  <c r="C67" i="2"/>
  <c r="F67" i="2"/>
  <c r="H66" i="2"/>
  <c r="B66" i="2"/>
  <c r="C66" i="2"/>
  <c r="B65" i="2"/>
  <c r="I65" i="2"/>
  <c r="C64" i="2"/>
  <c r="B64" i="2"/>
  <c r="F64" i="2"/>
  <c r="C63" i="2"/>
  <c r="B63" i="2"/>
  <c r="I62" i="2"/>
  <c r="B62" i="2"/>
  <c r="H62" i="2"/>
  <c r="F62" i="2"/>
  <c r="F61" i="2"/>
  <c r="AF530" i="1"/>
  <c r="AF532" i="1"/>
  <c r="A533" i="1"/>
  <c r="D533" i="1"/>
  <c r="AG533" i="1"/>
  <c r="AF527" i="1"/>
  <c r="AF529" i="1"/>
  <c r="AF528" i="1"/>
  <c r="A534" i="1"/>
  <c r="A535" i="1"/>
  <c r="AG535" i="1"/>
  <c r="J65" i="2"/>
  <c r="J62" i="2"/>
  <c r="J66" i="2"/>
  <c r="J63" i="2"/>
  <c r="J68" i="2"/>
  <c r="J61" i="2"/>
  <c r="J64" i="2"/>
  <c r="J67" i="2"/>
  <c r="D535" i="1"/>
  <c r="A536" i="1"/>
  <c r="D536" i="1"/>
  <c r="A537" i="1"/>
  <c r="AG536" i="1"/>
  <c r="D537" i="1"/>
  <c r="AG537" i="1"/>
  <c r="A538" i="1"/>
  <c r="AG538" i="1"/>
  <c r="D538" i="1"/>
  <c r="A539" i="1"/>
  <c r="D539" i="1"/>
  <c r="AG539" i="1"/>
  <c r="A540" i="1"/>
  <c r="D540" i="1"/>
  <c r="AG540" i="1"/>
  <c r="A541" i="1"/>
  <c r="D541" i="1"/>
  <c r="AG541" i="1"/>
  <c r="A542" i="1"/>
  <c r="AG542" i="1"/>
  <c r="D542" i="1"/>
  <c r="A543" i="1"/>
  <c r="D543" i="1"/>
  <c r="AG543" i="1"/>
  <c r="A544" i="1"/>
  <c r="D544" i="1"/>
  <c r="AG544" i="1"/>
  <c r="A545" i="1"/>
  <c r="AG545" i="1"/>
  <c r="D545" i="1"/>
  <c r="A546" i="1"/>
  <c r="D546" i="1"/>
  <c r="AG546" i="1"/>
  <c r="A547" i="1"/>
  <c r="A548" i="1"/>
  <c r="AG548" i="1"/>
  <c r="D548" i="1"/>
  <c r="A549" i="1"/>
  <c r="D549" i="1"/>
  <c r="AG549" i="1"/>
  <c r="A550" i="1"/>
  <c r="AG550" i="1"/>
  <c r="D550" i="1"/>
  <c r="A551" i="1"/>
  <c r="D551" i="1"/>
  <c r="AG551" i="1"/>
  <c r="A552" i="1"/>
  <c r="AG552" i="1"/>
  <c r="D552" i="1"/>
  <c r="A553" i="1"/>
  <c r="A554" i="1"/>
  <c r="D554" i="1"/>
  <c r="AG554" i="1"/>
  <c r="A555" i="1"/>
  <c r="AG555" i="1"/>
  <c r="D555" i="1"/>
  <c r="A556" i="1"/>
  <c r="D556" i="1"/>
  <c r="AG556" i="1"/>
  <c r="A557" i="1"/>
  <c r="AG557" i="1"/>
  <c r="D557" i="1"/>
  <c r="A558" i="1"/>
  <c r="A559" i="1"/>
  <c r="AG559" i="1"/>
  <c r="D559" i="1"/>
  <c r="A560" i="1"/>
  <c r="A561" i="1"/>
  <c r="AG561" i="1"/>
  <c r="D561" i="1"/>
  <c r="A562" i="1"/>
  <c r="D562" i="1"/>
  <c r="AG562" i="1"/>
  <c r="A563" i="1"/>
  <c r="A564" i="1"/>
  <c r="AG564" i="1"/>
  <c r="D564" i="1"/>
  <c r="A565" i="1"/>
  <c r="D565" i="1"/>
  <c r="AG565" i="1"/>
  <c r="A566" i="1"/>
  <c r="AG566" i="1"/>
  <c r="D566" i="1"/>
  <c r="A567" i="1"/>
  <c r="D567" i="1"/>
  <c r="AG567" i="1"/>
  <c r="A568" i="1"/>
  <c r="AG568" i="1"/>
  <c r="D568" i="1"/>
  <c r="A569" i="1"/>
  <c r="A570" i="1"/>
  <c r="AG570" i="1"/>
  <c r="D570" i="1"/>
  <c r="A571" i="1"/>
  <c r="AG571" i="1"/>
  <c r="D571" i="1"/>
  <c r="A572" i="1"/>
  <c r="A573" i="1"/>
  <c r="D573" i="1"/>
  <c r="AG573" i="1"/>
  <c r="A574" i="1"/>
  <c r="AG574" i="1"/>
  <c r="D574" i="1"/>
  <c r="A575" i="1"/>
  <c r="A576" i="1"/>
  <c r="AG576" i="1"/>
  <c r="D576" i="1"/>
  <c r="A577" i="1"/>
  <c r="A578" i="1"/>
  <c r="AG578" i="1"/>
  <c r="D578" i="1"/>
  <c r="A579" i="1"/>
  <c r="D579" i="1"/>
  <c r="AG579" i="1"/>
  <c r="A580" i="1"/>
  <c r="A581" i="1"/>
  <c r="AG581" i="1"/>
  <c r="D581" i="1"/>
  <c r="A582" i="1"/>
  <c r="AG582" i="1"/>
  <c r="D582" i="1"/>
  <c r="A583" i="1"/>
  <c r="AG583" i="1"/>
  <c r="D583" i="1"/>
  <c r="A584" i="1"/>
  <c r="AG584" i="1"/>
  <c r="D584" i="1"/>
  <c r="A585" i="1"/>
  <c r="D585" i="1"/>
  <c r="AG585" i="1"/>
  <c r="A586" i="1"/>
  <c r="AG586" i="1"/>
  <c r="D586" i="1"/>
  <c r="A587" i="1"/>
  <c r="D587" i="1"/>
  <c r="AG587" i="1"/>
  <c r="A588" i="1"/>
  <c r="A589" i="1"/>
  <c r="AG589" i="1"/>
  <c r="D589" i="1"/>
  <c r="A590" i="1"/>
  <c r="D590" i="1"/>
  <c r="AG590" i="1"/>
  <c r="A591" i="1"/>
  <c r="AG591" i="1"/>
  <c r="D591" i="1"/>
  <c r="A592" i="1"/>
  <c r="D592" i="1"/>
  <c r="AG592" i="1"/>
  <c r="A593" i="1"/>
  <c r="AG593" i="1"/>
  <c r="D593" i="1"/>
  <c r="A594" i="1"/>
  <c r="AG594" i="1"/>
  <c r="D594" i="1"/>
  <c r="A595" i="1"/>
  <c r="A596" i="1"/>
  <c r="AG596" i="1"/>
  <c r="D596" i="1"/>
  <c r="A597" i="1"/>
  <c r="A598" i="1"/>
  <c r="D598" i="1"/>
  <c r="AG598" i="1"/>
  <c r="A599" i="1"/>
  <c r="A600" i="1"/>
  <c r="AG600" i="1"/>
  <c r="D600" i="1"/>
  <c r="A601" i="1"/>
  <c r="AG601" i="1"/>
  <c r="D601" i="1"/>
  <c r="A602" i="1"/>
  <c r="A603" i="1"/>
  <c r="AG603" i="1"/>
  <c r="D603" i="1"/>
  <c r="A604" i="1"/>
  <c r="D604" i="1"/>
  <c r="AG604" i="1"/>
  <c r="A605" i="1"/>
  <c r="A606" i="1"/>
  <c r="D606" i="1"/>
  <c r="AG606" i="1"/>
  <c r="A607" i="1"/>
  <c r="AG607" i="1"/>
  <c r="D607" i="1"/>
  <c r="A608" i="1"/>
  <c r="D608" i="1"/>
  <c r="AG608" i="1"/>
  <c r="A609" i="1"/>
  <c r="D609" i="1"/>
  <c r="AG609" i="1"/>
  <c r="A610" i="1"/>
  <c r="AG610" i="1"/>
  <c r="D610" i="1"/>
  <c r="A611" i="1"/>
  <c r="D611" i="1"/>
  <c r="AG611" i="1"/>
  <c r="A612" i="1"/>
  <c r="AG612" i="1"/>
  <c r="D612" i="1"/>
  <c r="A613" i="1"/>
  <c r="D613" i="1"/>
  <c r="AG613" i="1"/>
  <c r="A614" i="1"/>
  <c r="A615" i="1"/>
  <c r="AG615" i="1"/>
  <c r="D615" i="1"/>
  <c r="A616" i="1"/>
  <c r="AG616" i="1"/>
  <c r="D616" i="1"/>
  <c r="A617" i="1"/>
  <c r="A618" i="1"/>
  <c r="AG618" i="1"/>
  <c r="D618" i="1"/>
  <c r="A619" i="1"/>
  <c r="A620" i="1"/>
  <c r="AG620" i="1"/>
  <c r="D620" i="1"/>
  <c r="A621" i="1"/>
  <c r="AG621" i="1"/>
  <c r="D621" i="1"/>
  <c r="A622" i="1"/>
  <c r="A623" i="1"/>
  <c r="AG623" i="1"/>
  <c r="D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H943" i="1" l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I621" i="1"/>
  <c r="AH621" i="1"/>
  <c r="AH620" i="1"/>
  <c r="AH619" i="1"/>
  <c r="AH618" i="1"/>
  <c r="AH617" i="1"/>
  <c r="AI616" i="1"/>
  <c r="AH616" i="1"/>
  <c r="AH615" i="1"/>
  <c r="AH614" i="1"/>
  <c r="AH613" i="1"/>
  <c r="AH612" i="1"/>
  <c r="AH611" i="1"/>
  <c r="AH610" i="1"/>
  <c r="AH609" i="1"/>
  <c r="AH608" i="1"/>
  <c r="AI607" i="1"/>
  <c r="AI608" i="1" s="1"/>
  <c r="AI609" i="1" s="1"/>
  <c r="AI610" i="1" s="1"/>
  <c r="AI611" i="1" s="1"/>
  <c r="AI612" i="1" s="1"/>
  <c r="AI613" i="1" s="1"/>
  <c r="AH607" i="1"/>
  <c r="AH606" i="1"/>
  <c r="AH605" i="1"/>
  <c r="AI604" i="1"/>
  <c r="AH604" i="1"/>
  <c r="AH603" i="1"/>
  <c r="AH602" i="1"/>
  <c r="AI601" i="1"/>
  <c r="AH601" i="1"/>
  <c r="AH600" i="1"/>
  <c r="AH599" i="1"/>
  <c r="AH598" i="1"/>
  <c r="AH597" i="1"/>
  <c r="AH596" i="1"/>
  <c r="AH595" i="1"/>
  <c r="AH594" i="1"/>
  <c r="AH593" i="1"/>
  <c r="AH592" i="1"/>
  <c r="AH591" i="1"/>
  <c r="AI590" i="1"/>
  <c r="AI591" i="1" s="1"/>
  <c r="AI592" i="1" s="1"/>
  <c r="AI593" i="1" s="1"/>
  <c r="AI594" i="1" s="1"/>
  <c r="AH590" i="1"/>
  <c r="AH589" i="1"/>
  <c r="AH588" i="1"/>
  <c r="AH587" i="1"/>
  <c r="AH586" i="1"/>
  <c r="AH585" i="1"/>
  <c r="AH584" i="1"/>
  <c r="AH583" i="1"/>
  <c r="AI582" i="1"/>
  <c r="AI583" i="1" s="1"/>
  <c r="AI584" i="1" s="1"/>
  <c r="AI585" i="1" s="1"/>
  <c r="AI586" i="1" s="1"/>
  <c r="AI587" i="1" s="1"/>
  <c r="AH582" i="1"/>
  <c r="AH581" i="1"/>
  <c r="AH580" i="1"/>
  <c r="AI579" i="1"/>
  <c r="AH579" i="1"/>
  <c r="AH578" i="1"/>
  <c r="AH577" i="1"/>
  <c r="AH576" i="1"/>
  <c r="AH575" i="1"/>
  <c r="AI574" i="1"/>
  <c r="AH574" i="1"/>
  <c r="AH573" i="1"/>
  <c r="AH572" i="1"/>
  <c r="AI571" i="1"/>
  <c r="AH571" i="1"/>
  <c r="AH570" i="1"/>
  <c r="AH569" i="1"/>
  <c r="AH568" i="1"/>
  <c r="AH567" i="1"/>
  <c r="AH566" i="1"/>
  <c r="AI565" i="1"/>
  <c r="AI566" i="1" s="1"/>
  <c r="AI567" i="1" s="1"/>
  <c r="AI568" i="1" s="1"/>
  <c r="AH565" i="1"/>
  <c r="AH564" i="1"/>
  <c r="AH563" i="1"/>
  <c r="AI562" i="1"/>
  <c r="AH562" i="1"/>
  <c r="AH561" i="1"/>
  <c r="AH560" i="1"/>
  <c r="AH559" i="1"/>
  <c r="AH558" i="1"/>
  <c r="AH557" i="1"/>
  <c r="AH556" i="1"/>
  <c r="AI555" i="1"/>
  <c r="AI556" i="1" s="1"/>
  <c r="AI557" i="1" s="1"/>
  <c r="AH555" i="1"/>
  <c r="AH554" i="1"/>
  <c r="AH553" i="1"/>
  <c r="AH552" i="1"/>
  <c r="AH551" i="1"/>
  <c r="AH550" i="1"/>
  <c r="AI549" i="1"/>
  <c r="AI550" i="1" s="1"/>
  <c r="AI551" i="1" s="1"/>
  <c r="AI552" i="1" s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I536" i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H537" i="1"/>
  <c r="AH536" i="1"/>
  <c r="AH535" i="1"/>
  <c r="AH534" i="1"/>
  <c r="AI533" i="1"/>
  <c r="AH526" i="1"/>
  <c r="B526" i="1" s="1"/>
  <c r="C526" i="1" s="1"/>
  <c r="AH281" i="1"/>
  <c r="B281" i="1" s="1"/>
  <c r="C281" i="1" s="1"/>
  <c r="AH192" i="1"/>
  <c r="B192" i="1" s="1"/>
  <c r="C192" i="1" s="1"/>
  <c r="AH153" i="1"/>
  <c r="B153" i="1" s="1"/>
  <c r="C153" i="1" s="1"/>
  <c r="AH385" i="1"/>
  <c r="B385" i="1" s="1"/>
  <c r="C385" i="1" s="1"/>
  <c r="AH52" i="1"/>
  <c r="B52" i="1" s="1"/>
  <c r="C52" i="1" s="1"/>
  <c r="AH430" i="1"/>
  <c r="B430" i="1" s="1"/>
  <c r="C430" i="1" s="1"/>
  <c r="AH479" i="1"/>
  <c r="B479" i="1" s="1"/>
  <c r="C479" i="1" s="1"/>
  <c r="AH318" i="1"/>
  <c r="B318" i="1" s="1"/>
  <c r="C318" i="1" s="1"/>
  <c r="AH404" i="1"/>
  <c r="B404" i="1" s="1"/>
  <c r="C404" i="1" s="1"/>
  <c r="AH102" i="1"/>
  <c r="B102" i="1" s="1"/>
  <c r="C102" i="1" s="1"/>
  <c r="AH33" i="1"/>
  <c r="B33" i="1" s="1"/>
  <c r="C33" i="1" s="1"/>
  <c r="AH158" i="1"/>
  <c r="B158" i="1" s="1"/>
  <c r="C158" i="1" s="1"/>
  <c r="AH170" i="1"/>
  <c r="B170" i="1" s="1"/>
  <c r="C170" i="1" s="1"/>
  <c r="AH464" i="1"/>
  <c r="B464" i="1" s="1"/>
  <c r="C464" i="1" s="1"/>
  <c r="AH500" i="1"/>
  <c r="B500" i="1" s="1"/>
  <c r="C500" i="1" s="1"/>
  <c r="AH259" i="1"/>
  <c r="B259" i="1" s="1"/>
  <c r="C259" i="1" s="1"/>
  <c r="AH136" i="1"/>
  <c r="B136" i="1" s="1"/>
  <c r="C136" i="1" s="1"/>
  <c r="AH130" i="1"/>
  <c r="B130" i="1" s="1"/>
  <c r="C130" i="1" s="1"/>
  <c r="AH144" i="1"/>
  <c r="B144" i="1" s="1"/>
  <c r="C144" i="1" s="1"/>
  <c r="AH326" i="1"/>
  <c r="B326" i="1" s="1"/>
  <c r="C326" i="1" s="1"/>
  <c r="AH369" i="1"/>
  <c r="B369" i="1" s="1"/>
  <c r="C369" i="1" s="1"/>
  <c r="AH459" i="1"/>
  <c r="B459" i="1" s="1"/>
  <c r="C459" i="1" s="1"/>
  <c r="AH436" i="1"/>
  <c r="B436" i="1" s="1"/>
  <c r="C436" i="1" s="1"/>
  <c r="AH14" i="1"/>
  <c r="B14" i="1" s="1"/>
  <c r="C14" i="1" s="1"/>
  <c r="E2" i="2"/>
  <c r="AH215" i="1"/>
  <c r="B215" i="1" s="1"/>
  <c r="C215" i="1" s="1"/>
  <c r="AH16" i="1"/>
  <c r="B16" i="1" s="1"/>
  <c r="C16" i="1" s="1"/>
  <c r="AH25" i="1"/>
  <c r="B25" i="1" s="1"/>
  <c r="C25" i="1" s="1"/>
  <c r="AH256" i="1"/>
  <c r="B256" i="1" s="1"/>
  <c r="C256" i="1" s="1"/>
  <c r="AH488" i="1"/>
  <c r="B488" i="1" s="1"/>
  <c r="C488" i="1" s="1"/>
  <c r="AH284" i="1"/>
  <c r="B284" i="1" s="1"/>
  <c r="C284" i="1" s="1"/>
  <c r="AH228" i="1"/>
  <c r="B228" i="1" s="1"/>
  <c r="C228" i="1" s="1"/>
  <c r="AH120" i="1"/>
  <c r="B120" i="1" s="1"/>
  <c r="C120" i="1" s="1"/>
  <c r="AH21" i="1"/>
  <c r="B21" i="1" s="1"/>
  <c r="C21" i="1" s="1"/>
  <c r="AH313" i="1"/>
  <c r="B313" i="1" s="1"/>
  <c r="C313" i="1" s="1"/>
  <c r="AH392" i="1"/>
  <c r="B392" i="1" s="1"/>
  <c r="C392" i="1" s="1"/>
  <c r="AH90" i="1"/>
  <c r="B90" i="1" s="1"/>
  <c r="C90" i="1" s="1"/>
  <c r="AH395" i="1"/>
  <c r="B395" i="1" s="1"/>
  <c r="C395" i="1" s="1"/>
  <c r="AH160" i="1"/>
  <c r="B160" i="1" s="1"/>
  <c r="C160" i="1" s="1"/>
  <c r="AH311" i="1"/>
  <c r="B311" i="1" s="1"/>
  <c r="C311" i="1" s="1"/>
  <c r="AH291" i="1"/>
  <c r="B291" i="1" s="1"/>
  <c r="C291" i="1" s="1"/>
  <c r="AH200" i="1"/>
  <c r="B200" i="1" s="1"/>
  <c r="C200" i="1" s="1"/>
  <c r="AH434" i="1"/>
  <c r="B434" i="1" s="1"/>
  <c r="C434" i="1" s="1"/>
  <c r="AH212" i="1"/>
  <c r="B212" i="1" s="1"/>
  <c r="C212" i="1" s="1"/>
  <c r="AH482" i="1"/>
  <c r="B482" i="1" s="1"/>
  <c r="C482" i="1" s="1"/>
  <c r="AH505" i="1"/>
  <c r="B505" i="1" s="1"/>
  <c r="C505" i="1" s="1"/>
  <c r="AH105" i="1"/>
  <c r="B105" i="1" s="1"/>
  <c r="C105" i="1" s="1"/>
  <c r="AH236" i="1"/>
  <c r="B236" i="1" s="1"/>
  <c r="C236" i="1" s="1"/>
  <c r="AH177" i="1"/>
  <c r="B177" i="1" s="1"/>
  <c r="C177" i="1" s="1"/>
  <c r="AH322" i="1"/>
  <c r="B322" i="1" s="1"/>
  <c r="C322" i="1" s="1"/>
  <c r="AH39" i="1"/>
  <c r="B39" i="1" s="1"/>
  <c r="C39" i="1" s="1"/>
  <c r="AH316" i="1"/>
  <c r="B316" i="1" s="1"/>
  <c r="C316" i="1" s="1"/>
  <c r="AH475" i="1"/>
  <c r="B475" i="1" s="1"/>
  <c r="C475" i="1" s="1"/>
  <c r="AH389" i="1"/>
  <c r="B389" i="1" s="1"/>
  <c r="C389" i="1" s="1"/>
  <c r="AH155" i="1"/>
  <c r="B155" i="1" s="1"/>
  <c r="C155" i="1" s="1"/>
  <c r="AH111" i="1"/>
  <c r="B111" i="1" s="1"/>
  <c r="C111" i="1" s="1"/>
  <c r="AH118" i="1"/>
  <c r="B118" i="1" s="1"/>
  <c r="C118" i="1" s="1"/>
  <c r="AH116" i="1"/>
  <c r="B116" i="1" s="1"/>
  <c r="C116" i="1" s="1"/>
  <c r="AH299" i="1"/>
  <c r="B299" i="1" s="1"/>
  <c r="C299" i="1" s="1"/>
  <c r="AH450" i="1"/>
  <c r="B450" i="1" s="1"/>
  <c r="C450" i="1" s="1"/>
  <c r="AH503" i="1"/>
  <c r="B503" i="1" s="1"/>
  <c r="C503" i="1" s="1"/>
  <c r="AH432" i="1"/>
  <c r="B432" i="1" s="1"/>
  <c r="C432" i="1" s="1"/>
  <c r="AH338" i="1"/>
  <c r="B338" i="1" s="1"/>
  <c r="C338" i="1" s="1"/>
  <c r="AH62" i="1"/>
  <c r="B62" i="1" s="1"/>
  <c r="C62" i="1" s="1"/>
  <c r="AH439" i="1"/>
  <c r="B439" i="1" s="1"/>
  <c r="C439" i="1" s="1"/>
  <c r="L2" i="2"/>
  <c r="AH168" i="1"/>
  <c r="B168" i="1" s="1"/>
  <c r="C168" i="1" s="1"/>
  <c r="AH41" i="1"/>
  <c r="B41" i="1" s="1"/>
  <c r="C41" i="1" s="1"/>
  <c r="AH230" i="1"/>
  <c r="B230" i="1" s="1"/>
  <c r="C230" i="1" s="1"/>
  <c r="AH246" i="1"/>
  <c r="B246" i="1" s="1"/>
  <c r="C246" i="1" s="1"/>
  <c r="AH29" i="1"/>
  <c r="B29" i="1" s="1"/>
  <c r="C29" i="1" s="1"/>
  <c r="K2" i="2"/>
  <c r="AH357" i="1"/>
  <c r="B357" i="1" s="1"/>
  <c r="C357" i="1" s="1"/>
  <c r="AH96" i="1"/>
  <c r="B96" i="1" s="1"/>
  <c r="C96" i="1" s="1"/>
  <c r="AH162" i="1"/>
  <c r="B162" i="1" s="1"/>
  <c r="C162" i="1" s="1"/>
  <c r="AH486" i="1"/>
  <c r="B486" i="1" s="1"/>
  <c r="C486" i="1" s="1"/>
  <c r="AH523" i="1"/>
  <c r="B523" i="1" s="1"/>
  <c r="C523" i="1" s="1"/>
  <c r="AH66" i="1"/>
  <c r="B66" i="1" s="1"/>
  <c r="C66" i="1" s="1"/>
  <c r="AH165" i="1"/>
  <c r="B165" i="1" s="1"/>
  <c r="C165" i="1" s="1"/>
  <c r="AH264" i="1"/>
  <c r="B264" i="1" s="1"/>
  <c r="C264" i="1" s="1"/>
  <c r="AH113" i="1"/>
  <c r="B113" i="1" s="1"/>
  <c r="C113" i="1" s="1"/>
  <c r="AH77" i="1"/>
  <c r="B77" i="1" s="1"/>
  <c r="C77" i="1" s="1"/>
  <c r="AH147" i="1"/>
  <c r="B147" i="1" s="1"/>
  <c r="C147" i="1" s="1"/>
  <c r="AH532" i="1"/>
  <c r="B532" i="1" s="1"/>
  <c r="C532" i="1" s="1"/>
  <c r="AH107" i="1"/>
  <c r="B107" i="1" s="1"/>
  <c r="C107" i="1" s="1"/>
  <c r="AH184" i="1"/>
  <c r="B184" i="1" s="1"/>
  <c r="C184" i="1" s="1"/>
  <c r="AH9" i="1"/>
  <c r="B9" i="1" s="1"/>
  <c r="C9" i="1" s="1"/>
  <c r="AH320" i="1"/>
  <c r="B320" i="1" s="1"/>
  <c r="C320" i="1" s="1"/>
  <c r="AH412" i="1"/>
  <c r="B412" i="1" s="1"/>
  <c r="C412" i="1" s="1"/>
  <c r="AH402" i="1"/>
  <c r="B402" i="1" s="1"/>
  <c r="C402" i="1" s="1"/>
  <c r="AH477" i="1"/>
  <c r="B477" i="1" s="1"/>
  <c r="C477" i="1" s="1"/>
  <c r="AH513" i="1"/>
  <c r="B513" i="1" s="1"/>
  <c r="C513" i="1" s="1"/>
  <c r="AH46" i="1"/>
  <c r="B46" i="1" s="1"/>
  <c r="C46" i="1" s="1"/>
  <c r="AH209" i="1"/>
  <c r="B209" i="1" s="1"/>
  <c r="C209" i="1" s="1"/>
  <c r="AH81" i="1"/>
  <c r="B81" i="1" s="1"/>
  <c r="C81" i="1" s="1"/>
  <c r="AH382" i="1"/>
  <c r="B382" i="1" s="1"/>
  <c r="C382" i="1" s="1"/>
  <c r="AH409" i="1"/>
  <c r="B409" i="1" s="1"/>
  <c r="C409" i="1" s="1"/>
  <c r="AH83" i="1"/>
  <c r="B83" i="1" s="1"/>
  <c r="C83" i="1" s="1"/>
  <c r="AH462" i="1"/>
  <c r="B462" i="1" s="1"/>
  <c r="C462" i="1" s="1"/>
  <c r="AH242" i="1"/>
  <c r="B242" i="1" s="1"/>
  <c r="C242" i="1" s="1"/>
  <c r="AH27" i="1"/>
  <c r="B27" i="1" s="1"/>
  <c r="C27" i="1" s="1"/>
  <c r="AH123" i="1"/>
  <c r="B123" i="1" s="1"/>
  <c r="C123" i="1" s="1"/>
  <c r="AH203" i="1"/>
  <c r="B203" i="1" s="1"/>
  <c r="C203" i="1" s="1"/>
  <c r="AH271" i="1"/>
  <c r="B271" i="1" s="1"/>
  <c r="C271" i="1" s="1"/>
  <c r="AH221" i="1"/>
  <c r="B221" i="1" s="1"/>
  <c r="C221" i="1" s="1"/>
  <c r="AH445" i="1"/>
  <c r="B445" i="1" s="1"/>
  <c r="C445" i="1" s="1"/>
  <c r="AH491" i="1"/>
  <c r="B491" i="1" s="1"/>
  <c r="C491" i="1" s="1"/>
  <c r="AH3" i="1"/>
  <c r="B3" i="1" s="1"/>
  <c r="AH332" i="1"/>
  <c r="B332" i="1" s="1"/>
  <c r="C332" i="1" s="1"/>
  <c r="AH427" i="1"/>
  <c r="B427" i="1" s="1"/>
  <c r="C427" i="1" s="1"/>
  <c r="AH59" i="1"/>
  <c r="B59" i="1" s="1"/>
  <c r="C59" i="1" s="1"/>
  <c r="AH205" i="1"/>
  <c r="B205" i="1" s="1"/>
  <c r="C205" i="1" s="1"/>
  <c r="AH253" i="1"/>
  <c r="B253" i="1" s="1"/>
  <c r="C253" i="1" s="1"/>
  <c r="AH407" i="1"/>
  <c r="B407" i="1" s="1"/>
  <c r="C407" i="1" s="1"/>
  <c r="AH35" i="1"/>
  <c r="B35" i="1" s="1"/>
  <c r="C35" i="1" s="1"/>
  <c r="AH324" i="1"/>
  <c r="B324" i="1" s="1"/>
  <c r="C324" i="1" s="1"/>
  <c r="AH400" i="1"/>
  <c r="B400" i="1" s="1"/>
  <c r="C400" i="1" s="1"/>
  <c r="AH244" i="1"/>
  <c r="B244" i="1" s="1"/>
  <c r="C244" i="1" s="1"/>
  <c r="AH251" i="1"/>
  <c r="B251" i="1" s="1"/>
  <c r="C251" i="1" s="1"/>
  <c r="AH420" i="1"/>
  <c r="B420" i="1" s="1"/>
  <c r="C420" i="1" s="1"/>
  <c r="AH350" i="1"/>
  <c r="B350" i="1" s="1"/>
  <c r="C350" i="1" s="1"/>
  <c r="AH484" i="1"/>
  <c r="B484" i="1" s="1"/>
  <c r="C484" i="1" s="1"/>
  <c r="B1" i="3"/>
  <c r="B2" i="3" s="1"/>
  <c r="AH533" i="1"/>
  <c r="E62" i="2"/>
  <c r="K62" i="2"/>
  <c r="L62" i="2"/>
  <c r="E63" i="2"/>
  <c r="L63" i="2"/>
  <c r="K63" i="2"/>
  <c r="E64" i="2"/>
  <c r="L64" i="2"/>
  <c r="K64" i="2"/>
  <c r="E65" i="2"/>
  <c r="K65" i="2"/>
  <c r="L65" i="2"/>
  <c r="E66" i="2"/>
  <c r="K66" i="2"/>
  <c r="L66" i="2"/>
  <c r="E61" i="2"/>
  <c r="K61" i="2"/>
  <c r="L61" i="2"/>
  <c r="E67" i="2"/>
  <c r="L67" i="2"/>
  <c r="K67" i="2"/>
  <c r="E68" i="2"/>
  <c r="L68" i="2"/>
  <c r="K68" i="2"/>
  <c r="N68" i="2"/>
  <c r="N61" i="2"/>
  <c r="N67" i="2"/>
  <c r="N62" i="2"/>
  <c r="N63" i="2"/>
  <c r="N64" i="2"/>
  <c r="N65" i="2"/>
  <c r="N66" i="2"/>
  <c r="B29" i="4"/>
  <c r="B30" i="4"/>
  <c r="B31" i="4"/>
  <c r="B32" i="4"/>
  <c r="B33" i="4"/>
  <c r="B34" i="4"/>
  <c r="B35" i="4"/>
  <c r="B36" i="4"/>
  <c r="AB623" i="1"/>
  <c r="AF623" i="1"/>
  <c r="AC621" i="1"/>
  <c r="AC620" i="1"/>
  <c r="AB620" i="1"/>
  <c r="AB618" i="1"/>
  <c r="AC616" i="1"/>
  <c r="AB616" i="1"/>
  <c r="AF615" i="1"/>
  <c r="AB613" i="1"/>
  <c r="AC613" i="1"/>
  <c r="AC612" i="1"/>
  <c r="AB612" i="1"/>
  <c r="AC611" i="1"/>
  <c r="AB611" i="1"/>
  <c r="AC610" i="1"/>
  <c r="AB610" i="1"/>
  <c r="AB609" i="1"/>
  <c r="AC609" i="1"/>
  <c r="AC608" i="1"/>
  <c r="AB608" i="1"/>
  <c r="AC607" i="1"/>
  <c r="AB607" i="1"/>
  <c r="AB606" i="1"/>
  <c r="AF604" i="1"/>
  <c r="AB603" i="1"/>
  <c r="AB601" i="1"/>
  <c r="AC601" i="1"/>
  <c r="AF600" i="1"/>
  <c r="AF598" i="1"/>
  <c r="AB598" i="1"/>
  <c r="AF596" i="1"/>
  <c r="AF594" i="1"/>
  <c r="AB594" i="1"/>
  <c r="AF593" i="1"/>
  <c r="AB593" i="1"/>
  <c r="AF592" i="1"/>
  <c r="AB592" i="1"/>
  <c r="AF591" i="1"/>
  <c r="AC591" i="1"/>
  <c r="AF590" i="1"/>
  <c r="AB589" i="1"/>
  <c r="AF587" i="1"/>
  <c r="AB587" i="1"/>
  <c r="AF586" i="1"/>
  <c r="AB586" i="1"/>
  <c r="AF585" i="1"/>
  <c r="AB585" i="1"/>
  <c r="AF584" i="1"/>
  <c r="AB584" i="1"/>
  <c r="AF583" i="1"/>
  <c r="AC583" i="1"/>
  <c r="AC582" i="1"/>
  <c r="AB582" i="1"/>
  <c r="AC581" i="1"/>
  <c r="AF579" i="1"/>
  <c r="AF578" i="1"/>
  <c r="AC576" i="1"/>
  <c r="AF576" i="1"/>
  <c r="AF574" i="1"/>
  <c r="AC573" i="1"/>
  <c r="AB573" i="1"/>
  <c r="AB571" i="1"/>
  <c r="AB570" i="1"/>
  <c r="AF570" i="1"/>
  <c r="AB568" i="1"/>
  <c r="AC567" i="1"/>
  <c r="AC566" i="1"/>
  <c r="AB565" i="1"/>
  <c r="AC565" i="1"/>
  <c r="AC564" i="1"/>
  <c r="AB564" i="1"/>
  <c r="AB562" i="1"/>
  <c r="AF562" i="1"/>
  <c r="AF561" i="1"/>
  <c r="AC561" i="1"/>
  <c r="AC559" i="1"/>
  <c r="AB557" i="1"/>
  <c r="AF557" i="1"/>
  <c r="AB556" i="1"/>
  <c r="AF556" i="1"/>
  <c r="AC555" i="1"/>
  <c r="AF555" i="1"/>
  <c r="AC554" i="1"/>
  <c r="AB552" i="1"/>
  <c r="AC552" i="1"/>
  <c r="AC551" i="1"/>
  <c r="AB551" i="1"/>
  <c r="AC550" i="1"/>
  <c r="AB550" i="1"/>
  <c r="AB549" i="1"/>
  <c r="AF548" i="1"/>
  <c r="AF546" i="1"/>
  <c r="AC546" i="1"/>
  <c r="AC545" i="1"/>
  <c r="AB545" i="1"/>
  <c r="AB544" i="1"/>
  <c r="AC544" i="1"/>
  <c r="AB543" i="1"/>
  <c r="AC543" i="1"/>
  <c r="AB542" i="1"/>
  <c r="AC542" i="1"/>
  <c r="AC541" i="1"/>
  <c r="AB541" i="1"/>
  <c r="AB540" i="1"/>
  <c r="AC540" i="1"/>
  <c r="AC539" i="1"/>
  <c r="AB539" i="1"/>
  <c r="AC538" i="1"/>
  <c r="AB538" i="1"/>
  <c r="AB537" i="1"/>
  <c r="AC537" i="1"/>
  <c r="AC536" i="1"/>
  <c r="AB535" i="1"/>
  <c r="N2" i="2"/>
  <c r="AB378" i="1"/>
  <c r="AB436" i="1"/>
  <c r="AC326" i="1"/>
  <c r="AC515" i="1"/>
  <c r="AB254" i="1"/>
  <c r="AC72" i="1"/>
  <c r="AB91" i="1"/>
  <c r="AB215" i="1"/>
  <c r="AB57" i="1"/>
  <c r="AC39" i="1"/>
  <c r="AC343" i="1"/>
  <c r="AB172" i="1"/>
  <c r="AC29" i="1"/>
  <c r="AC360" i="1"/>
  <c r="AC173" i="1"/>
  <c r="AC494" i="1"/>
  <c r="AC228" i="1"/>
  <c r="AC91" i="1"/>
  <c r="AC475" i="1"/>
  <c r="AB188" i="1"/>
  <c r="AB35" i="1"/>
  <c r="AC225" i="1"/>
  <c r="AB446" i="1"/>
  <c r="AB205" i="1"/>
  <c r="AC386" i="1"/>
  <c r="AC64" i="1"/>
  <c r="AB43" i="1"/>
  <c r="AB221" i="1"/>
  <c r="AC109" i="1"/>
  <c r="AC430" i="1"/>
  <c r="AB233" i="1"/>
  <c r="AB140" i="1"/>
  <c r="AB507" i="1"/>
  <c r="AC304" i="1"/>
  <c r="AB271" i="1"/>
  <c r="AB521" i="1"/>
  <c r="AB340" i="1"/>
  <c r="AB297" i="1"/>
  <c r="AC486" i="1"/>
  <c r="AB197" i="1"/>
  <c r="AC246" i="1"/>
  <c r="AC75" i="1"/>
  <c r="AB25" i="1"/>
  <c r="AB238" i="1"/>
  <c r="AB425" i="1"/>
  <c r="AC42" i="1"/>
  <c r="AC123" i="1"/>
  <c r="AC88" i="1"/>
  <c r="AC352" i="1"/>
  <c r="AB330" i="1"/>
  <c r="AB88" i="1"/>
  <c r="AB281" i="1"/>
  <c r="AB74" i="1"/>
  <c r="AB494" i="1"/>
  <c r="AB491" i="1"/>
  <c r="AB266" i="1"/>
  <c r="AC189" i="1"/>
  <c r="AC465" i="1"/>
  <c r="AB313" i="1"/>
  <c r="AC196" i="1"/>
  <c r="AB268" i="1"/>
  <c r="AC70" i="1"/>
  <c r="AB210" i="1"/>
  <c r="AB364" i="1"/>
  <c r="AB341" i="1"/>
  <c r="AB390" i="1"/>
  <c r="AC526" i="1"/>
  <c r="AB442" i="1"/>
  <c r="AC55" i="1"/>
  <c r="AC301" i="1"/>
  <c r="AC128" i="1"/>
  <c r="AC160" i="1"/>
  <c r="AB168" i="1"/>
  <c r="AC414" i="1"/>
  <c r="AB126" i="1"/>
  <c r="AB389" i="1"/>
  <c r="AB366" i="1"/>
  <c r="AC49" i="1"/>
  <c r="AC371" i="1"/>
  <c r="AC501" i="1"/>
  <c r="AB533" i="1"/>
  <c r="AC131" i="1"/>
  <c r="AB60" i="1"/>
  <c r="AC477" i="1"/>
  <c r="AB223" i="1"/>
  <c r="AC261" i="1"/>
  <c r="AC447" i="1"/>
  <c r="AB278" i="1"/>
  <c r="AB109" i="1"/>
  <c r="AB175" i="1"/>
  <c r="AC344" i="1"/>
  <c r="AB78" i="1"/>
  <c r="AC527" i="1"/>
  <c r="AB180" i="1"/>
  <c r="AB21" i="1"/>
  <c r="AB482" i="1"/>
  <c r="AB94" i="1"/>
  <c r="AC14" i="1"/>
  <c r="AC459" i="1"/>
  <c r="AB379" i="1"/>
  <c r="AB437" i="1"/>
  <c r="AC92" i="1"/>
  <c r="AB367" i="1"/>
  <c r="AC309" i="1"/>
  <c r="AB41" i="1"/>
  <c r="AB359" i="1"/>
  <c r="AC10" i="1"/>
  <c r="AC529" i="1"/>
  <c r="AC182" i="1"/>
  <c r="AB155" i="1"/>
  <c r="AB460" i="1"/>
  <c r="AC155" i="1"/>
  <c r="AB19" i="1"/>
  <c r="AB75" i="1"/>
  <c r="AC69" i="1"/>
  <c r="AC209" i="1"/>
  <c r="AB49" i="1"/>
  <c r="AC18" i="1"/>
  <c r="AB393" i="1"/>
  <c r="AB320" i="1"/>
  <c r="AC93" i="1"/>
  <c r="AB428" i="1"/>
  <c r="AB139" i="1"/>
  <c r="AC268" i="1"/>
  <c r="AC179" i="1"/>
  <c r="AC96" i="1"/>
  <c r="AB207" i="1"/>
  <c r="AB493" i="1"/>
  <c r="AC404" i="1"/>
  <c r="AB326" i="1"/>
  <c r="AC251" i="1"/>
  <c r="AC379" i="1"/>
  <c r="AB322" i="1"/>
  <c r="AC231" i="1"/>
  <c r="AC178" i="1"/>
  <c r="AC41" i="1"/>
  <c r="AB16" i="1"/>
  <c r="AC221" i="1"/>
  <c r="AB365" i="1"/>
  <c r="AC168" i="1"/>
  <c r="AC257" i="1"/>
  <c r="AB407" i="1"/>
  <c r="AC516" i="1"/>
  <c r="AC5" i="1"/>
  <c r="AB128" i="1"/>
  <c r="AB505" i="1"/>
  <c r="AC223" i="1"/>
  <c r="AB31" i="1"/>
  <c r="AC473" i="1"/>
  <c r="AB370" i="1"/>
  <c r="AC452" i="1"/>
  <c r="AC63" i="1"/>
  <c r="AC265" i="1"/>
  <c r="AC216" i="1"/>
  <c r="AC484" i="1"/>
  <c r="AB174" i="1"/>
  <c r="AC153" i="1"/>
  <c r="AC460" i="1"/>
  <c r="AB289" i="1"/>
  <c r="AB292" i="1"/>
  <c r="AB29" i="1"/>
  <c r="AC242" i="1"/>
  <c r="AC279" i="1"/>
  <c r="AC416" i="1"/>
  <c r="AC367" i="1"/>
  <c r="AC320" i="1"/>
  <c r="AC439" i="1"/>
  <c r="AC66" i="1"/>
  <c r="AB293" i="1"/>
  <c r="AB265" i="1"/>
  <c r="AB294" i="1"/>
  <c r="AB509" i="1"/>
  <c r="AC249" i="1"/>
  <c r="AC375" i="1"/>
  <c r="AC451" i="1"/>
  <c r="AC86" i="1"/>
  <c r="AB189" i="1"/>
  <c r="AC273" i="1"/>
  <c r="AB150" i="1"/>
  <c r="AC262" i="1"/>
  <c r="AB450" i="1"/>
  <c r="AB22" i="1"/>
  <c r="AB386" i="1"/>
  <c r="AB9" i="1"/>
  <c r="AC285" i="1"/>
  <c r="AC333" i="1"/>
  <c r="AB353" i="1"/>
  <c r="AB111" i="1"/>
  <c r="AC345" i="1"/>
  <c r="AC520" i="1"/>
  <c r="AB309" i="1"/>
  <c r="AB363" i="1"/>
  <c r="AC488" i="1"/>
  <c r="AC134" i="1"/>
  <c r="AC366" i="1"/>
  <c r="AB454" i="1"/>
  <c r="AB456" i="1"/>
  <c r="AC239" i="1"/>
  <c r="AC296" i="1"/>
  <c r="AB23" i="1"/>
  <c r="AB138" i="1"/>
  <c r="AC44" i="1"/>
  <c r="AC348" i="1"/>
  <c r="AC215" i="1"/>
  <c r="AB198" i="1"/>
  <c r="AC130" i="1"/>
  <c r="AB517" i="1"/>
  <c r="AC102" i="1"/>
  <c r="AB343" i="1"/>
  <c r="AB418" i="1"/>
  <c r="AC389" i="1"/>
  <c r="AC294" i="1"/>
  <c r="AC175" i="1"/>
  <c r="AB409" i="1"/>
  <c r="AC107" i="1"/>
  <c r="AB510" i="1"/>
  <c r="AB334" i="1"/>
  <c r="AB346" i="1"/>
  <c r="AB516" i="1"/>
  <c r="AB296" i="1"/>
  <c r="AC53" i="1"/>
  <c r="AB462" i="1"/>
  <c r="AC462" i="1"/>
  <c r="AC432" i="1"/>
  <c r="AC354" i="1"/>
  <c r="AC30" i="1"/>
  <c r="AC358" i="1"/>
  <c r="AB70" i="1"/>
  <c r="AC256" i="1"/>
  <c r="AB184" i="1"/>
  <c r="AB44" i="1"/>
  <c r="AB529" i="1"/>
  <c r="AC234" i="1"/>
  <c r="AB127" i="1"/>
  <c r="AB470" i="1"/>
  <c r="AC201" i="1"/>
  <c r="AC217" i="1"/>
  <c r="AC236" i="1"/>
  <c r="AC443" i="1"/>
  <c r="AC254" i="1"/>
  <c r="AC36" i="1"/>
  <c r="AB153" i="1"/>
  <c r="AB508" i="1"/>
  <c r="AB79" i="1"/>
  <c r="AB50" i="1"/>
  <c r="AC272" i="1"/>
  <c r="AB382" i="1"/>
  <c r="AB524" i="1"/>
  <c r="AC118" i="1"/>
  <c r="AB142" i="1"/>
  <c r="AC377" i="1"/>
  <c r="AB108" i="1"/>
  <c r="AB66" i="1"/>
  <c r="AC193" i="1"/>
  <c r="AC413" i="1"/>
  <c r="AB149" i="1"/>
  <c r="AB423" i="1"/>
  <c r="AC190" i="1"/>
  <c r="AB329" i="1"/>
  <c r="AC57" i="1"/>
  <c r="AB277" i="1"/>
  <c r="AB344" i="1"/>
  <c r="AC497" i="1"/>
  <c r="AB519" i="1"/>
  <c r="AB354" i="1"/>
  <c r="AB165" i="1"/>
  <c r="AB486" i="1"/>
  <c r="AB226" i="1"/>
  <c r="AC136" i="1"/>
  <c r="AB455" i="1"/>
  <c r="AB55" i="1"/>
  <c r="AB404" i="1"/>
  <c r="AC277" i="1"/>
  <c r="AC7" i="1"/>
  <c r="AC151" i="1"/>
  <c r="AC111" i="1"/>
  <c r="AB3" i="1"/>
  <c r="AC370" i="1"/>
  <c r="AC224" i="1"/>
  <c r="AB288" i="1"/>
  <c r="AC25" i="1"/>
  <c r="AB520" i="1"/>
  <c r="AB46" i="1"/>
  <c r="AB372" i="1"/>
  <c r="AB472" i="1"/>
  <c r="AC21" i="1"/>
  <c r="AB416" i="1"/>
  <c r="AB451" i="1"/>
  <c r="AB291" i="1"/>
  <c r="AC286" i="1"/>
  <c r="AC35" i="1"/>
  <c r="AC54" i="1"/>
  <c r="AB171" i="1"/>
  <c r="AC342" i="1"/>
  <c r="AB147" i="1"/>
  <c r="AB495" i="1"/>
  <c r="AB526" i="1"/>
  <c r="AC274" i="1"/>
  <c r="AC291" i="1"/>
  <c r="AC511" i="1"/>
  <c r="AB275" i="1"/>
  <c r="AC181" i="1"/>
  <c r="AB464" i="1"/>
  <c r="AC207" i="1"/>
  <c r="AC402" i="1"/>
  <c r="AC306" i="1"/>
  <c r="AC423" i="1"/>
  <c r="AB36" i="1"/>
  <c r="AC508" i="1"/>
  <c r="AB225" i="1"/>
  <c r="AC420" i="1"/>
  <c r="AC100" i="1"/>
  <c r="AC219" i="1"/>
  <c r="AC284" i="1"/>
  <c r="AC188" i="1"/>
  <c r="AC147" i="1"/>
  <c r="AC98" i="1"/>
  <c r="AB37" i="1"/>
  <c r="AB193" i="1"/>
  <c r="AB56" i="1"/>
  <c r="AB385" i="1"/>
  <c r="AB492" i="1"/>
  <c r="AB532" i="1"/>
  <c r="AC311" i="1"/>
  <c r="AB299" i="1"/>
  <c r="AB515" i="1"/>
  <c r="AB287" i="1"/>
  <c r="AB248" i="1"/>
  <c r="AB475" i="1"/>
  <c r="AB141" i="1"/>
  <c r="AB92" i="1"/>
  <c r="AB134" i="1"/>
  <c r="AB123" i="1"/>
  <c r="AC22" i="1"/>
  <c r="AC509" i="1"/>
  <c r="AC198" i="1"/>
  <c r="AB163" i="1"/>
  <c r="AC521" i="1"/>
  <c r="AC116" i="1"/>
  <c r="AC230" i="1"/>
  <c r="AC472" i="1"/>
  <c r="AC466" i="1"/>
  <c r="AC395" i="1"/>
  <c r="AB87" i="1"/>
  <c r="AB448" i="1"/>
  <c r="AB90" i="1"/>
  <c r="AB125" i="1"/>
  <c r="AB414" i="1"/>
  <c r="AB98" i="1"/>
  <c r="AB498" i="1"/>
  <c r="AC282" i="1"/>
  <c r="AC83" i="1"/>
  <c r="AC479" i="1"/>
  <c r="AB151" i="1"/>
  <c r="AB477" i="1"/>
  <c r="AB467" i="1"/>
  <c r="AC380" i="1"/>
  <c r="AC365" i="1"/>
  <c r="AB257" i="1"/>
  <c r="AC238" i="1"/>
  <c r="AC170" i="1"/>
  <c r="AC77" i="1"/>
  <c r="AC442" i="1"/>
  <c r="AB177" i="1"/>
  <c r="AC27" i="1"/>
  <c r="AB14" i="1"/>
  <c r="AC518" i="1"/>
  <c r="AC105" i="1"/>
  <c r="AB480" i="1"/>
  <c r="AC180" i="1"/>
  <c r="AC453" i="1"/>
  <c r="AC226" i="1"/>
  <c r="AC340" i="1"/>
  <c r="AB373" i="1"/>
  <c r="AC496" i="1"/>
  <c r="AB306" i="1"/>
  <c r="AB201" i="1"/>
  <c r="AB81" i="1"/>
  <c r="AC60" i="1"/>
  <c r="AC383" i="1"/>
  <c r="AC79" i="1"/>
  <c r="AC491" i="1"/>
  <c r="AB417" i="1"/>
  <c r="AC500" i="1"/>
  <c r="AC623" i="1"/>
  <c r="AF621" i="1"/>
  <c r="AB621" i="1"/>
  <c r="AF620" i="1"/>
  <c r="AF618" i="1"/>
  <c r="AC618" i="1"/>
  <c r="AF616" i="1"/>
  <c r="AC615" i="1"/>
  <c r="AB615" i="1"/>
  <c r="AF613" i="1"/>
  <c r="AF612" i="1"/>
  <c r="AF611" i="1"/>
  <c r="AF610" i="1"/>
  <c r="AF609" i="1"/>
  <c r="AF608" i="1"/>
  <c r="AF607" i="1"/>
  <c r="AF606" i="1"/>
  <c r="AC606" i="1"/>
  <c r="AB604" i="1"/>
  <c r="AC604" i="1"/>
  <c r="AF603" i="1"/>
  <c r="AC603" i="1"/>
  <c r="AF601" i="1"/>
  <c r="AC600" i="1"/>
  <c r="AB600" i="1"/>
  <c r="AC598" i="1"/>
  <c r="AB596" i="1"/>
  <c r="AC596" i="1"/>
  <c r="AC594" i="1"/>
  <c r="AC593" i="1"/>
  <c r="AC592" i="1"/>
  <c r="AB591" i="1"/>
  <c r="AB590" i="1"/>
  <c r="AC590" i="1"/>
  <c r="AC589" i="1"/>
  <c r="AF589" i="1"/>
  <c r="AC587" i="1"/>
  <c r="AC586" i="1"/>
  <c r="AC585" i="1"/>
  <c r="AC584" i="1"/>
  <c r="AB583" i="1"/>
  <c r="AF582" i="1"/>
  <c r="AB581" i="1"/>
  <c r="AF581" i="1"/>
  <c r="AC579" i="1"/>
  <c r="AB579" i="1"/>
  <c r="AC578" i="1"/>
  <c r="AB578" i="1"/>
  <c r="AB576" i="1"/>
  <c r="AB574" i="1"/>
  <c r="AC574" i="1"/>
  <c r="AF573" i="1"/>
  <c r="AF571" i="1"/>
  <c r="AC571" i="1"/>
  <c r="AC570" i="1"/>
  <c r="AF568" i="1"/>
  <c r="AC568" i="1"/>
  <c r="AF567" i="1"/>
  <c r="AB567" i="1"/>
  <c r="AF566" i="1"/>
  <c r="AB566" i="1"/>
  <c r="AF565" i="1"/>
  <c r="AF564" i="1"/>
  <c r="AC562" i="1"/>
  <c r="AB561" i="1"/>
  <c r="AF559" i="1"/>
  <c r="AB559" i="1"/>
  <c r="AC557" i="1"/>
  <c r="AC556" i="1"/>
  <c r="AB555" i="1"/>
  <c r="AB554" i="1"/>
  <c r="AF554" i="1"/>
  <c r="AF552" i="1"/>
  <c r="AF551" i="1"/>
  <c r="AF550" i="1"/>
  <c r="AC549" i="1"/>
  <c r="AF549" i="1"/>
  <c r="AB548" i="1"/>
  <c r="AC548" i="1"/>
  <c r="AB546" i="1"/>
  <c r="AF545" i="1"/>
  <c r="AF544" i="1"/>
  <c r="AF543" i="1"/>
  <c r="AF542" i="1"/>
  <c r="AF541" i="1"/>
  <c r="AF540" i="1"/>
  <c r="AF539" i="1"/>
  <c r="AF538" i="1"/>
  <c r="AF537" i="1"/>
  <c r="AB536" i="1"/>
  <c r="AF536" i="1"/>
  <c r="AF535" i="1"/>
  <c r="AC535" i="1"/>
  <c r="J3" i="4"/>
  <c r="I3" i="4"/>
  <c r="C2" i="2"/>
  <c r="AC398" i="1"/>
  <c r="AB11" i="1"/>
  <c r="AC46" i="1"/>
  <c r="AC364" i="1"/>
  <c r="AC271" i="1"/>
  <c r="AB518" i="1"/>
  <c r="AB274" i="1"/>
  <c r="AC163" i="1"/>
  <c r="AC418" i="1"/>
  <c r="AB231" i="1"/>
  <c r="AB387" i="1"/>
  <c r="AB336" i="1"/>
  <c r="AB33" i="1"/>
  <c r="AB69" i="1"/>
  <c r="AB301" i="1"/>
  <c r="AB269" i="1"/>
  <c r="AC300" i="1"/>
  <c r="AB302" i="1"/>
  <c r="AB318" i="1"/>
  <c r="AC396" i="1"/>
  <c r="AB158" i="1"/>
  <c r="AB489" i="1"/>
  <c r="AB213" i="1"/>
  <c r="AB273" i="1"/>
  <c r="AC194" i="1"/>
  <c r="AB528" i="1"/>
  <c r="AB196" i="1"/>
  <c r="AC347" i="1"/>
  <c r="AC471" i="1"/>
  <c r="AB380" i="1"/>
  <c r="AC327" i="1"/>
  <c r="AB424" i="1"/>
  <c r="AB434" i="1"/>
  <c r="AB217" i="1"/>
  <c r="AB249" i="1"/>
  <c r="AC278" i="1"/>
  <c r="AB99" i="1"/>
  <c r="AC47" i="1"/>
  <c r="AB397" i="1"/>
  <c r="AC59" i="1"/>
  <c r="AC421" i="1"/>
  <c r="AB30" i="1"/>
  <c r="AB86" i="1"/>
  <c r="AB513" i="1"/>
  <c r="AC212" i="1"/>
  <c r="AC355" i="1"/>
  <c r="AC467" i="1"/>
  <c r="AB445" i="1"/>
  <c r="AB262" i="1"/>
  <c r="AC441" i="1"/>
  <c r="AB71" i="1"/>
  <c r="AC316" i="1"/>
  <c r="AC295" i="1"/>
  <c r="AB272" i="1"/>
  <c r="AC275" i="1"/>
  <c r="AB328" i="1"/>
  <c r="AC195" i="1"/>
  <c r="AB253" i="1"/>
  <c r="AB190" i="1"/>
  <c r="AC113" i="1"/>
  <c r="AC530" i="1"/>
  <c r="AC264" i="1"/>
  <c r="AB350" i="1"/>
  <c r="AC470" i="1"/>
  <c r="AC23" i="1"/>
  <c r="AC6" i="1"/>
  <c r="AC339" i="1"/>
  <c r="AC440" i="1"/>
  <c r="AC68" i="1"/>
  <c r="AB506" i="1"/>
  <c r="AB48" i="1"/>
  <c r="AB173" i="1"/>
  <c r="AB471" i="1"/>
  <c r="AB186" i="1"/>
  <c r="AC318" i="1"/>
  <c r="AC456" i="1"/>
  <c r="AB232" i="1"/>
  <c r="AC184" i="1"/>
  <c r="AC150" i="1"/>
  <c r="AC120" i="1"/>
  <c r="AB361" i="1"/>
  <c r="AB5" i="1"/>
  <c r="AC142" i="1"/>
  <c r="AB355" i="1"/>
  <c r="AB103" i="1"/>
  <c r="AB166" i="1"/>
  <c r="AB501" i="1"/>
  <c r="AB308" i="1"/>
  <c r="AC446" i="1"/>
  <c r="AB358" i="1"/>
  <c r="AB132" i="1"/>
  <c r="AC341" i="1"/>
  <c r="AB276" i="1"/>
  <c r="AB118" i="1"/>
  <c r="AB105" i="1"/>
  <c r="AC287" i="1"/>
  <c r="AC373" i="1"/>
  <c r="AC492" i="1"/>
  <c r="AC133" i="1"/>
  <c r="AB68" i="1"/>
  <c r="AB121" i="1"/>
  <c r="AC513" i="1"/>
  <c r="AC203" i="1"/>
  <c r="AC400" i="1"/>
  <c r="AB469" i="1"/>
  <c r="AB240" i="1"/>
  <c r="AC313" i="1"/>
  <c r="AB237" i="1"/>
  <c r="AC144" i="1"/>
  <c r="AC390" i="1"/>
  <c r="AC200" i="1"/>
  <c r="AC302" i="1"/>
  <c r="AB7" i="1"/>
  <c r="AC519" i="1"/>
  <c r="AC248" i="1"/>
  <c r="AC213" i="1"/>
  <c r="AC524" i="1"/>
  <c r="AC52" i="1"/>
  <c r="AC19" i="1"/>
  <c r="AB466" i="1"/>
  <c r="AC469" i="1"/>
  <c r="AB239" i="1"/>
  <c r="AC17" i="1"/>
  <c r="AB286" i="1"/>
  <c r="AC260" i="1"/>
  <c r="AB52" i="1"/>
  <c r="AC247" i="1"/>
  <c r="AB47" i="1"/>
  <c r="AB246" i="1"/>
  <c r="AB371" i="1"/>
  <c r="AC328" i="1"/>
  <c r="AC303" i="1"/>
  <c r="AC425" i="1"/>
  <c r="AB100" i="1"/>
  <c r="AB362" i="1"/>
  <c r="AC378" i="1"/>
  <c r="AC506" i="1"/>
  <c r="AB77" i="1"/>
  <c r="AC259" i="1"/>
  <c r="AC206" i="1"/>
  <c r="AB107" i="1"/>
  <c r="AC405" i="1"/>
  <c r="AB347" i="1"/>
  <c r="AC67" i="1"/>
  <c r="AB405" i="1"/>
  <c r="AC145" i="1"/>
  <c r="AB93" i="1"/>
  <c r="AB348" i="1"/>
  <c r="AB523" i="1"/>
  <c r="AB303" i="1"/>
  <c r="AB206" i="1"/>
  <c r="AB264" i="1"/>
  <c r="AB224" i="1"/>
  <c r="AC218" i="1"/>
  <c r="AB398" i="1"/>
  <c r="AC361" i="1"/>
  <c r="AC382" i="1"/>
  <c r="AB304" i="1"/>
  <c r="AB212" i="1"/>
  <c r="AC137" i="1"/>
  <c r="AB530" i="1"/>
  <c r="AC299" i="1"/>
  <c r="AB73" i="1"/>
  <c r="AC489" i="1"/>
  <c r="AB496" i="1"/>
  <c r="AC314" i="1"/>
  <c r="AC165" i="1"/>
  <c r="AC464" i="1"/>
  <c r="AC81" i="1"/>
  <c r="AB18" i="1"/>
  <c r="AC141" i="1"/>
  <c r="AC329" i="1"/>
  <c r="AB300" i="1"/>
  <c r="AC94" i="1"/>
  <c r="AC97" i="1"/>
  <c r="AC393" i="1"/>
  <c r="AC523" i="1"/>
  <c r="AB357" i="1"/>
  <c r="AC210" i="1"/>
  <c r="AB83" i="1"/>
  <c r="AB339" i="1"/>
  <c r="AC62" i="1"/>
  <c r="AB342" i="1"/>
  <c r="AC292" i="1"/>
  <c r="AB53" i="1"/>
  <c r="AB453" i="1"/>
  <c r="AB63" i="1"/>
  <c r="AC37" i="1"/>
  <c r="AC84" i="1"/>
  <c r="AC139" i="1"/>
  <c r="AB402" i="1"/>
  <c r="AB427" i="1"/>
  <c r="AB179" i="1"/>
  <c r="AC156" i="1"/>
  <c r="AC305" i="1"/>
  <c r="AC503" i="1"/>
  <c r="AC350" i="1"/>
  <c r="AB84" i="1"/>
  <c r="AC353" i="1"/>
  <c r="AC510" i="1"/>
  <c r="AB345" i="1"/>
  <c r="AC73" i="1"/>
  <c r="AC498" i="1"/>
  <c r="AB145" i="1"/>
  <c r="AB311" i="1"/>
  <c r="AC422" i="1"/>
  <c r="AC148" i="1"/>
  <c r="AC288" i="1"/>
  <c r="AC436" i="1"/>
  <c r="AC186" i="1"/>
  <c r="AC158" i="1"/>
  <c r="AC455" i="1"/>
  <c r="AB413" i="1"/>
  <c r="AB412" i="1"/>
  <c r="AC346" i="1"/>
  <c r="AB97" i="1"/>
  <c r="AC74" i="1"/>
  <c r="AC415" i="1"/>
  <c r="AC132" i="1"/>
  <c r="AC138" i="1"/>
  <c r="AC177" i="1"/>
  <c r="AB130" i="1"/>
  <c r="AC103" i="1"/>
  <c r="AC445" i="1"/>
  <c r="AB137" i="1"/>
  <c r="AB282" i="1"/>
  <c r="AB12" i="1"/>
  <c r="AB219" i="1"/>
  <c r="AC495" i="1"/>
  <c r="AC332" i="1"/>
  <c r="AC293" i="1"/>
  <c r="AC407" i="1"/>
  <c r="AB228" i="1"/>
  <c r="AC387" i="1"/>
  <c r="AB187" i="1"/>
  <c r="AC392" i="1"/>
  <c r="AB162" i="1"/>
  <c r="AC359" i="1"/>
  <c r="AC336" i="1"/>
  <c r="AB267" i="1"/>
  <c r="AC417" i="1"/>
  <c r="AB64" i="1"/>
  <c r="AB85" i="1"/>
  <c r="AB170" i="1"/>
  <c r="AC31" i="1"/>
  <c r="AB260" i="1"/>
  <c r="AB324" i="1"/>
  <c r="AB4" i="1"/>
  <c r="AC334" i="1"/>
  <c r="AC281" i="1"/>
  <c r="AC85" i="1"/>
  <c r="AC374" i="1"/>
  <c r="AC528" i="1"/>
  <c r="AC409" i="1"/>
  <c r="AB133" i="1"/>
  <c r="AC480" i="1"/>
  <c r="AB182" i="1"/>
  <c r="AB27" i="1"/>
  <c r="AC454" i="1"/>
  <c r="AC3" i="1"/>
  <c r="AC297" i="1"/>
  <c r="AB10" i="1"/>
  <c r="AC174" i="1"/>
  <c r="AB116" i="1"/>
  <c r="AC308" i="1"/>
  <c r="AC427" i="1"/>
  <c r="AB192" i="1"/>
  <c r="AC363" i="1"/>
  <c r="AC428" i="1"/>
  <c r="AC517" i="1"/>
  <c r="AC114" i="1"/>
  <c r="AB369" i="1"/>
  <c r="AC482" i="1"/>
  <c r="AB156" i="1"/>
  <c r="AB195" i="1"/>
  <c r="AC533" i="1"/>
  <c r="AC187" i="1"/>
  <c r="AC385" i="1"/>
  <c r="AC468" i="1"/>
  <c r="AC410" i="1"/>
  <c r="AB410" i="1"/>
  <c r="AB230" i="1"/>
  <c r="AC372" i="1"/>
  <c r="AB420" i="1"/>
  <c r="AB400" i="1"/>
  <c r="AC87" i="1"/>
  <c r="AB352" i="1"/>
  <c r="AB203" i="1"/>
  <c r="AC362" i="1"/>
  <c r="AC43" i="1"/>
  <c r="AC507" i="1"/>
  <c r="AB39" i="1"/>
  <c r="AC12" i="1"/>
  <c r="AB247" i="1"/>
  <c r="AC126" i="1"/>
  <c r="AC351" i="1"/>
  <c r="AC266" i="1"/>
  <c r="AB222" i="1"/>
  <c r="AB261" i="1"/>
  <c r="AC192" i="1"/>
  <c r="AB335" i="1"/>
  <c r="AC244" i="1"/>
  <c r="AB430" i="1"/>
  <c r="AB376" i="1"/>
  <c r="AB6" i="1"/>
  <c r="AC514" i="1"/>
  <c r="AC124" i="1"/>
  <c r="AC434" i="1"/>
  <c r="AB102" i="1"/>
  <c r="AB42" i="1"/>
  <c r="AB392" i="1"/>
  <c r="AB511" i="1"/>
  <c r="AC71" i="1"/>
  <c r="AB284" i="1"/>
  <c r="AC505" i="1"/>
  <c r="AB242" i="1"/>
  <c r="AB314" i="1"/>
  <c r="AB473" i="1"/>
  <c r="AB307" i="1"/>
  <c r="AC4" i="1"/>
  <c r="AC289" i="1"/>
  <c r="AB447" i="1"/>
  <c r="AC232" i="1"/>
  <c r="AB244" i="1"/>
  <c r="AB295" i="1"/>
  <c r="AC222" i="1"/>
  <c r="AC335" i="1"/>
  <c r="AB234" i="1"/>
  <c r="AB316" i="1"/>
  <c r="AB216" i="1"/>
  <c r="AB465" i="1"/>
  <c r="AB236" i="1"/>
  <c r="AB395" i="1"/>
  <c r="AC448" i="1"/>
  <c r="AC330" i="1"/>
  <c r="AB333" i="1"/>
  <c r="AB72" i="1"/>
  <c r="AB305" i="1"/>
  <c r="AB377" i="1"/>
  <c r="AC269" i="1"/>
  <c r="AB209" i="1"/>
  <c r="AC397" i="1"/>
  <c r="AB17" i="1"/>
  <c r="AC90" i="1"/>
  <c r="AB259" i="1"/>
  <c r="AC140" i="1"/>
  <c r="AC240" i="1"/>
  <c r="AB500" i="1"/>
  <c r="AB441" i="1"/>
  <c r="AC205" i="1"/>
  <c r="AB468" i="1"/>
  <c r="AB443" i="1"/>
  <c r="AC376" i="1"/>
  <c r="AC369" i="1"/>
  <c r="AC185" i="1"/>
  <c r="AB440" i="1"/>
  <c r="AB96" i="1"/>
  <c r="AB148" i="1"/>
  <c r="AC171" i="1"/>
  <c r="AB251" i="1"/>
  <c r="AB338" i="1"/>
  <c r="AF533" i="1"/>
  <c r="AC338" i="1"/>
  <c r="AB285" i="1"/>
  <c r="AC450" i="1"/>
  <c r="AB332" i="1"/>
  <c r="AB374" i="1"/>
  <c r="AB185" i="1"/>
  <c r="AC121" i="1"/>
  <c r="AB383" i="1"/>
  <c r="AB479" i="1"/>
  <c r="AB218" i="1"/>
  <c r="AB54" i="1"/>
  <c r="AB452" i="1"/>
  <c r="AB415" i="1"/>
  <c r="AC233" i="1"/>
  <c r="AC11" i="1"/>
  <c r="AB432" i="1"/>
  <c r="AB113" i="1"/>
  <c r="AB375" i="1"/>
  <c r="AC78" i="1"/>
  <c r="AC127" i="1"/>
  <c r="AC33" i="1"/>
  <c r="AC197" i="1"/>
  <c r="AC162" i="1"/>
  <c r="AC48" i="1"/>
  <c r="AC357" i="1"/>
  <c r="AC493" i="1"/>
  <c r="AB120" i="1"/>
  <c r="AB421" i="1"/>
  <c r="AC424" i="1"/>
  <c r="AC108" i="1"/>
  <c r="AC99" i="1"/>
  <c r="AC412" i="1"/>
  <c r="AC276" i="1"/>
  <c r="AB327" i="1"/>
  <c r="AC16" i="1"/>
  <c r="AB439" i="1"/>
  <c r="AC9" i="1"/>
  <c r="AB503" i="1"/>
  <c r="AB514" i="1"/>
  <c r="AC322" i="1"/>
  <c r="AC166" i="1"/>
  <c r="AC532" i="1"/>
  <c r="AB256" i="1"/>
  <c r="AC324" i="1"/>
  <c r="AB457" i="1"/>
  <c r="AC437" i="1"/>
  <c r="AC125" i="1"/>
  <c r="AB144" i="1"/>
  <c r="AC267" i="1"/>
  <c r="AB488" i="1"/>
  <c r="A3" i="2"/>
  <c r="AB131" i="1"/>
  <c r="AB459" i="1"/>
  <c r="AB351" i="1"/>
  <c r="AB360" i="1"/>
  <c r="AB59" i="1"/>
  <c r="AC307" i="1"/>
  <c r="AC172" i="1"/>
  <c r="AB160" i="1"/>
  <c r="AB279" i="1"/>
  <c r="AB62" i="1"/>
  <c r="AC253" i="1"/>
  <c r="AC149" i="1"/>
  <c r="AB484" i="1"/>
  <c r="AB181" i="1"/>
  <c r="AB67" i="1"/>
  <c r="AC237" i="1"/>
  <c r="AB178" i="1"/>
  <c r="AB527" i="1"/>
  <c r="AB114" i="1"/>
  <c r="AB200" i="1"/>
  <c r="AC457" i="1"/>
  <c r="AB136" i="1"/>
  <c r="AB124" i="1"/>
  <c r="AB194" i="1"/>
  <c r="AB396" i="1"/>
  <c r="AC56" i="1"/>
  <c r="AB497" i="1"/>
  <c r="AC50" i="1"/>
  <c r="AB42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G60" i="2" l="1"/>
  <c r="R60" i="2"/>
  <c r="G59" i="2"/>
  <c r="R59" i="2"/>
  <c r="G58" i="2"/>
  <c r="R58" i="2"/>
  <c r="R57" i="2"/>
  <c r="G57" i="2"/>
  <c r="R56" i="2"/>
  <c r="G56" i="2"/>
  <c r="R55" i="2"/>
  <c r="G55" i="2"/>
  <c r="G54" i="2"/>
  <c r="R54" i="2"/>
  <c r="G53" i="2"/>
  <c r="R53" i="2"/>
  <c r="R52" i="2"/>
  <c r="G52" i="2"/>
  <c r="G51" i="2"/>
  <c r="R51" i="2"/>
  <c r="G50" i="2"/>
  <c r="R50" i="2"/>
  <c r="G49" i="2"/>
  <c r="R49" i="2"/>
  <c r="R48" i="2"/>
  <c r="G48" i="2"/>
  <c r="G47" i="2"/>
  <c r="R47" i="2"/>
  <c r="G46" i="2"/>
  <c r="R46" i="2"/>
  <c r="G45" i="2"/>
  <c r="R45" i="2"/>
  <c r="G44" i="2"/>
  <c r="R44" i="2"/>
  <c r="R43" i="2"/>
  <c r="G43" i="2"/>
  <c r="G42" i="2"/>
  <c r="R42" i="2"/>
  <c r="G41" i="2"/>
  <c r="R41" i="2"/>
  <c r="R40" i="2"/>
  <c r="G40" i="2"/>
  <c r="R39" i="2"/>
  <c r="G39" i="2"/>
  <c r="G38" i="2"/>
  <c r="R38" i="2"/>
  <c r="R37" i="2"/>
  <c r="G37" i="2"/>
  <c r="G36" i="2"/>
  <c r="R36" i="2"/>
  <c r="R35" i="2"/>
  <c r="G35" i="2"/>
  <c r="R34" i="2"/>
  <c r="G34" i="2"/>
  <c r="G33" i="2"/>
  <c r="R33" i="2"/>
  <c r="R32" i="2"/>
  <c r="G32" i="2"/>
  <c r="R31" i="2"/>
  <c r="G31" i="2"/>
  <c r="G30" i="2"/>
  <c r="R30" i="2"/>
  <c r="G29" i="2"/>
  <c r="R29" i="2"/>
  <c r="G28" i="2"/>
  <c r="R28" i="2"/>
  <c r="R27" i="2"/>
  <c r="G27" i="2"/>
  <c r="R26" i="2"/>
  <c r="G26" i="2"/>
  <c r="R25" i="2"/>
  <c r="G25" i="2"/>
  <c r="G24" i="2"/>
  <c r="R24" i="2"/>
  <c r="R23" i="2"/>
  <c r="G23" i="2"/>
  <c r="G22" i="2"/>
  <c r="R22" i="2"/>
  <c r="G21" i="2"/>
  <c r="R21" i="2"/>
  <c r="G20" i="2"/>
  <c r="R20" i="2"/>
  <c r="R19" i="2"/>
  <c r="G19" i="2"/>
  <c r="R18" i="2"/>
  <c r="G18" i="2"/>
  <c r="G17" i="2"/>
  <c r="R17" i="2"/>
  <c r="R16" i="2"/>
  <c r="G16" i="2"/>
  <c r="R15" i="2"/>
  <c r="G15" i="2"/>
  <c r="G14" i="2"/>
  <c r="R14" i="2"/>
  <c r="G13" i="2"/>
  <c r="R13" i="2"/>
  <c r="R12" i="2"/>
  <c r="G12" i="2"/>
  <c r="R11" i="2"/>
  <c r="G11" i="2"/>
  <c r="G10" i="2"/>
  <c r="R10" i="2"/>
  <c r="G9" i="2"/>
  <c r="R9" i="2"/>
  <c r="G8" i="2"/>
  <c r="R8" i="2"/>
  <c r="G7" i="2"/>
  <c r="R7" i="2"/>
  <c r="R6" i="2"/>
  <c r="G6" i="2"/>
  <c r="G5" i="2"/>
  <c r="R5" i="2"/>
  <c r="R4" i="2"/>
  <c r="G4" i="2"/>
  <c r="R3" i="2"/>
  <c r="G3" i="2"/>
  <c r="N3" i="4"/>
  <c r="K3" i="4"/>
  <c r="L3" i="4" s="1"/>
  <c r="M3" i="4" s="1"/>
  <c r="B535" i="1"/>
  <c r="C535" i="1" s="1"/>
  <c r="B554" i="1"/>
  <c r="C554" i="1" s="1"/>
  <c r="B559" i="1"/>
  <c r="C559" i="1" s="1"/>
  <c r="B564" i="1"/>
  <c r="C564" i="1" s="1"/>
  <c r="B573" i="1"/>
  <c r="C573" i="1" s="1"/>
  <c r="B581" i="1"/>
  <c r="C581" i="1" s="1"/>
  <c r="B589" i="1"/>
  <c r="C589" i="1" s="1"/>
  <c r="B603" i="1"/>
  <c r="C603" i="1" s="1"/>
  <c r="B606" i="1"/>
  <c r="C606" i="1" s="1"/>
  <c r="B618" i="1"/>
  <c r="C618" i="1" s="1"/>
  <c r="B620" i="1"/>
  <c r="C620" i="1" s="1"/>
  <c r="B548" i="1"/>
  <c r="C548" i="1" s="1"/>
  <c r="B561" i="1"/>
  <c r="C561" i="1" s="1"/>
  <c r="B570" i="1"/>
  <c r="C570" i="1" s="1"/>
  <c r="B576" i="1"/>
  <c r="C576" i="1" s="1"/>
  <c r="B578" i="1"/>
  <c r="C578" i="1" s="1"/>
  <c r="B596" i="1"/>
  <c r="C596" i="1" s="1"/>
  <c r="B598" i="1"/>
  <c r="C598" i="1" s="1"/>
  <c r="B600" i="1"/>
  <c r="C600" i="1" s="1"/>
  <c r="B615" i="1"/>
  <c r="C615" i="1" s="1"/>
  <c r="B623" i="1"/>
  <c r="C623" i="1" s="1"/>
  <c r="C3" i="1"/>
  <c r="M2" i="2"/>
  <c r="O2" i="2" s="1"/>
  <c r="P2" i="2" s="1"/>
  <c r="Q2" i="2" s="1"/>
  <c r="M66" i="2"/>
  <c r="O66" i="2" s="1"/>
  <c r="P66" i="2" s="1"/>
  <c r="Q66" i="2" s="1"/>
  <c r="M65" i="2"/>
  <c r="O65" i="2" s="1"/>
  <c r="P65" i="2" s="1"/>
  <c r="Q65" i="2" s="1"/>
  <c r="M63" i="2"/>
  <c r="O63" i="2" s="1"/>
  <c r="P63" i="2" s="1"/>
  <c r="Q63" i="2" s="1"/>
  <c r="M61" i="2"/>
  <c r="O61" i="2" s="1"/>
  <c r="P61" i="2" s="1"/>
  <c r="Q61" i="2" s="1"/>
  <c r="M62" i="2"/>
  <c r="M68" i="2"/>
  <c r="O68" i="2" s="1"/>
  <c r="P68" i="2" s="1"/>
  <c r="Q68" i="2" s="1"/>
  <c r="M67" i="2"/>
  <c r="O67" i="2" s="1"/>
  <c r="P67" i="2" s="1"/>
  <c r="Q67" i="2" s="1"/>
  <c r="M64" i="2"/>
  <c r="O64" i="2" s="1"/>
  <c r="P64" i="2" s="1"/>
  <c r="Q64" i="2" s="1"/>
  <c r="D36" i="4"/>
  <c r="F36" i="4"/>
  <c r="G36" i="4"/>
  <c r="I36" i="4"/>
  <c r="G35" i="4"/>
  <c r="J35" i="4"/>
  <c r="F35" i="4"/>
  <c r="H35" i="4"/>
  <c r="D34" i="4"/>
  <c r="J34" i="4"/>
  <c r="E34" i="4"/>
  <c r="F34" i="4"/>
  <c r="H33" i="4"/>
  <c r="E33" i="4"/>
  <c r="D33" i="4"/>
  <c r="J33" i="4"/>
  <c r="F32" i="4"/>
  <c r="E32" i="4"/>
  <c r="C32" i="4"/>
  <c r="G32" i="4"/>
  <c r="H31" i="4"/>
  <c r="J31" i="4"/>
  <c r="I31" i="4"/>
  <c r="D31" i="4"/>
  <c r="G30" i="4"/>
  <c r="J30" i="4"/>
  <c r="D30" i="4"/>
  <c r="F30" i="4"/>
  <c r="E29" i="4"/>
  <c r="C29" i="4"/>
  <c r="G29" i="4"/>
  <c r="J29" i="4"/>
  <c r="C36" i="4"/>
  <c r="H36" i="4"/>
  <c r="E36" i="4"/>
  <c r="J36" i="4"/>
  <c r="I35" i="4"/>
  <c r="D35" i="4"/>
  <c r="E35" i="4"/>
  <c r="C35" i="4"/>
  <c r="H34" i="4"/>
  <c r="G34" i="4"/>
  <c r="I34" i="4"/>
  <c r="C34" i="4"/>
  <c r="G33" i="4"/>
  <c r="F33" i="4"/>
  <c r="C33" i="4"/>
  <c r="I33" i="4"/>
  <c r="H32" i="4"/>
  <c r="J32" i="4"/>
  <c r="I32" i="4"/>
  <c r="D32" i="4"/>
  <c r="G31" i="4"/>
  <c r="E31" i="4"/>
  <c r="F31" i="4"/>
  <c r="C31" i="4"/>
  <c r="H30" i="4"/>
  <c r="I30" i="4"/>
  <c r="C30" i="4"/>
  <c r="E30" i="4"/>
  <c r="F29" i="4"/>
  <c r="I29" i="4"/>
  <c r="H29" i="4"/>
  <c r="D29" i="4"/>
  <c r="J60" i="2"/>
  <c r="I60" i="2"/>
  <c r="J59" i="2"/>
  <c r="B59" i="2"/>
  <c r="I59" i="2"/>
  <c r="B58" i="2"/>
  <c r="C58" i="2"/>
  <c r="I57" i="2"/>
  <c r="C57" i="2"/>
  <c r="H57" i="2"/>
  <c r="H56" i="2"/>
  <c r="I56" i="2"/>
  <c r="H55" i="2"/>
  <c r="I55" i="2"/>
  <c r="F54" i="2"/>
  <c r="J54" i="2"/>
  <c r="I53" i="2"/>
  <c r="C53" i="2"/>
  <c r="B52" i="2"/>
  <c r="H52" i="2"/>
  <c r="C51" i="2"/>
  <c r="I51" i="2"/>
  <c r="H50" i="2"/>
  <c r="F50" i="2"/>
  <c r="J49" i="2"/>
  <c r="C49" i="2"/>
  <c r="F49" i="2"/>
  <c r="J48" i="2"/>
  <c r="B48" i="2"/>
  <c r="H47" i="2"/>
  <c r="J47" i="2"/>
  <c r="C47" i="2"/>
  <c r="B46" i="2"/>
  <c r="C46" i="2"/>
  <c r="H45" i="2"/>
  <c r="I45" i="2"/>
  <c r="F44" i="2"/>
  <c r="C44" i="2"/>
  <c r="H44" i="2"/>
  <c r="F43" i="2"/>
  <c r="C43" i="2"/>
  <c r="I43" i="2"/>
  <c r="C42" i="2"/>
  <c r="B42" i="2"/>
  <c r="B41" i="2"/>
  <c r="I41" i="2"/>
  <c r="J40" i="2"/>
  <c r="B40" i="2"/>
  <c r="H39" i="2"/>
  <c r="J39" i="2"/>
  <c r="J38" i="2"/>
  <c r="I38" i="2"/>
  <c r="J37" i="2"/>
  <c r="B37" i="2"/>
  <c r="C36" i="2"/>
  <c r="H36" i="2"/>
  <c r="C35" i="2"/>
  <c r="J35" i="2"/>
  <c r="F35" i="2"/>
  <c r="H34" i="2"/>
  <c r="J34" i="2"/>
  <c r="F34" i="2"/>
  <c r="I33" i="2"/>
  <c r="F33" i="2"/>
  <c r="J33" i="2"/>
  <c r="C32" i="2"/>
  <c r="I32" i="2"/>
  <c r="B31" i="2"/>
  <c r="H31" i="2"/>
  <c r="I30" i="2"/>
  <c r="C30" i="2"/>
  <c r="F30" i="2"/>
  <c r="J29" i="2"/>
  <c r="F29" i="2"/>
  <c r="J28" i="2"/>
  <c r="F28" i="2"/>
  <c r="B27" i="2"/>
  <c r="J27" i="2"/>
  <c r="C27" i="2"/>
  <c r="C26" i="2"/>
  <c r="H26" i="2"/>
  <c r="H25" i="2"/>
  <c r="C25" i="2"/>
  <c r="H24" i="2"/>
  <c r="C24" i="2"/>
  <c r="I24" i="2"/>
  <c r="J23" i="2"/>
  <c r="F23" i="2"/>
  <c r="B22" i="2"/>
  <c r="J22" i="2"/>
  <c r="H21" i="2"/>
  <c r="C21" i="2"/>
  <c r="J21" i="2"/>
  <c r="C20" i="2"/>
  <c r="H20" i="2"/>
  <c r="I20" i="2"/>
  <c r="F19" i="2"/>
  <c r="J19" i="2"/>
  <c r="C19" i="2"/>
  <c r="J18" i="2"/>
  <c r="I18" i="2"/>
  <c r="J17" i="2"/>
  <c r="B17" i="2"/>
  <c r="C17" i="2"/>
  <c r="F16" i="2"/>
  <c r="B16" i="2"/>
  <c r="J16" i="2"/>
  <c r="F15" i="2"/>
  <c r="I15" i="2"/>
  <c r="J14" i="2"/>
  <c r="C14" i="2"/>
  <c r="B13" i="2"/>
  <c r="I13" i="2"/>
  <c r="C13" i="2"/>
  <c r="H12" i="2"/>
  <c r="C12" i="2"/>
  <c r="B12" i="2"/>
  <c r="F11" i="2"/>
  <c r="C11" i="2"/>
  <c r="C10" i="2"/>
  <c r="I10" i="2"/>
  <c r="F10" i="2"/>
  <c r="J9" i="2"/>
  <c r="F9" i="2"/>
  <c r="B9" i="2"/>
  <c r="C8" i="2"/>
  <c r="J8" i="2"/>
  <c r="I7" i="2"/>
  <c r="H7" i="2"/>
  <c r="C7" i="2"/>
  <c r="F6" i="2"/>
  <c r="B6" i="2"/>
  <c r="J6" i="2"/>
  <c r="J5" i="2"/>
  <c r="C5" i="2"/>
  <c r="B5" i="2"/>
  <c r="J4" i="2"/>
  <c r="C4" i="2"/>
  <c r="F3" i="2"/>
  <c r="H3" i="2"/>
  <c r="H60" i="2"/>
  <c r="B60" i="2"/>
  <c r="F60" i="2"/>
  <c r="C60" i="2"/>
  <c r="F59" i="2"/>
  <c r="C59" i="2"/>
  <c r="H59" i="2"/>
  <c r="F58" i="2"/>
  <c r="I58" i="2"/>
  <c r="H58" i="2"/>
  <c r="J58" i="2"/>
  <c r="B57" i="2"/>
  <c r="J57" i="2"/>
  <c r="F57" i="2"/>
  <c r="B56" i="2"/>
  <c r="J56" i="2"/>
  <c r="F56" i="2"/>
  <c r="C56" i="2"/>
  <c r="C55" i="2"/>
  <c r="J55" i="2"/>
  <c r="B55" i="2"/>
  <c r="F55" i="2"/>
  <c r="H54" i="2"/>
  <c r="C54" i="2"/>
  <c r="B54" i="2"/>
  <c r="I54" i="2"/>
  <c r="B53" i="2"/>
  <c r="F53" i="2"/>
  <c r="H53" i="2"/>
  <c r="J53" i="2"/>
  <c r="I52" i="2"/>
  <c r="F52" i="2"/>
  <c r="J52" i="2"/>
  <c r="C52" i="2"/>
  <c r="B51" i="2"/>
  <c r="H51" i="2"/>
  <c r="F51" i="2"/>
  <c r="J51" i="2"/>
  <c r="J50" i="2"/>
  <c r="B50" i="2"/>
  <c r="I50" i="2"/>
  <c r="C50" i="2"/>
  <c r="H49" i="2"/>
  <c r="I49" i="2"/>
  <c r="B49" i="2"/>
  <c r="F48" i="2"/>
  <c r="I48" i="2"/>
  <c r="H48" i="2"/>
  <c r="C48" i="2"/>
  <c r="I47" i="2"/>
  <c r="B47" i="2"/>
  <c r="F47" i="2"/>
  <c r="I46" i="2"/>
  <c r="F46" i="2"/>
  <c r="J46" i="2"/>
  <c r="H46" i="2"/>
  <c r="B45" i="2"/>
  <c r="F45" i="2"/>
  <c r="J45" i="2"/>
  <c r="C45" i="2"/>
  <c r="J44" i="2"/>
  <c r="B44" i="2"/>
  <c r="I44" i="2"/>
  <c r="H43" i="2"/>
  <c r="B43" i="2"/>
  <c r="J43" i="2"/>
  <c r="H42" i="2"/>
  <c r="I42" i="2"/>
  <c r="F42" i="2"/>
  <c r="J42" i="2"/>
  <c r="F41" i="2"/>
  <c r="C41" i="2"/>
  <c r="H41" i="2"/>
  <c r="J41" i="2"/>
  <c r="H40" i="2"/>
  <c r="I40" i="2"/>
  <c r="C40" i="2"/>
  <c r="F40" i="2"/>
  <c r="C39" i="2"/>
  <c r="B39" i="2"/>
  <c r="I39" i="2"/>
  <c r="F39" i="2"/>
  <c r="H38" i="2"/>
  <c r="B38" i="2"/>
  <c r="C38" i="2"/>
  <c r="F38" i="2"/>
  <c r="F37" i="2"/>
  <c r="H37" i="2"/>
  <c r="C37" i="2"/>
  <c r="I37" i="2"/>
  <c r="J36" i="2"/>
  <c r="I36" i="2"/>
  <c r="F36" i="2"/>
  <c r="B36" i="2"/>
  <c r="H35" i="2"/>
  <c r="I35" i="2"/>
  <c r="B35" i="2"/>
  <c r="B34" i="2"/>
  <c r="C34" i="2"/>
  <c r="I34" i="2"/>
  <c r="B33" i="2"/>
  <c r="C33" i="2"/>
  <c r="H33" i="2"/>
  <c r="F32" i="2"/>
  <c r="B32" i="2"/>
  <c r="J32" i="2"/>
  <c r="H32" i="2"/>
  <c r="I31" i="2"/>
  <c r="C31" i="2"/>
  <c r="F31" i="2"/>
  <c r="J31" i="2"/>
  <c r="J30" i="2"/>
  <c r="B30" i="2"/>
  <c r="H30" i="2"/>
  <c r="I29" i="2"/>
  <c r="C29" i="2"/>
  <c r="H29" i="2"/>
  <c r="B29" i="2"/>
  <c r="I28" i="2"/>
  <c r="H28" i="2"/>
  <c r="B28" i="2"/>
  <c r="C28" i="2"/>
  <c r="I27" i="2"/>
  <c r="H27" i="2"/>
  <c r="F27" i="2"/>
  <c r="B26" i="2"/>
  <c r="J26" i="2"/>
  <c r="I26" i="2"/>
  <c r="F26" i="2"/>
  <c r="I25" i="2"/>
  <c r="B25" i="2"/>
  <c r="J25" i="2"/>
  <c r="F25" i="2"/>
  <c r="J24" i="2"/>
  <c r="F24" i="2"/>
  <c r="B24" i="2"/>
  <c r="H23" i="2"/>
  <c r="I23" i="2"/>
  <c r="B23" i="2"/>
  <c r="C23" i="2"/>
  <c r="I22" i="2"/>
  <c r="H22" i="2"/>
  <c r="F22" i="2"/>
  <c r="C22" i="2"/>
  <c r="I21" i="2"/>
  <c r="F21" i="2"/>
  <c r="B21" i="2"/>
  <c r="J20" i="2"/>
  <c r="B20" i="2"/>
  <c r="F20" i="2"/>
  <c r="B19" i="2"/>
  <c r="I19" i="2"/>
  <c r="H19" i="2"/>
  <c r="H18" i="2"/>
  <c r="C18" i="2"/>
  <c r="B18" i="2"/>
  <c r="F18" i="2"/>
  <c r="H17" i="2"/>
  <c r="F17" i="2"/>
  <c r="I17" i="2"/>
  <c r="H16" i="2"/>
  <c r="I16" i="2"/>
  <c r="C16" i="2"/>
  <c r="H15" i="2"/>
  <c r="J15" i="2"/>
  <c r="B15" i="2"/>
  <c r="C15" i="2"/>
  <c r="F14" i="2"/>
  <c r="H14" i="2"/>
  <c r="I14" i="2"/>
  <c r="B14" i="2"/>
  <c r="H13" i="2"/>
  <c r="F13" i="2"/>
  <c r="J13" i="2"/>
  <c r="F12" i="2"/>
  <c r="J12" i="2"/>
  <c r="I12" i="2"/>
  <c r="I11" i="2"/>
  <c r="B11" i="2"/>
  <c r="J11" i="2"/>
  <c r="H11" i="2"/>
  <c r="J10" i="2"/>
  <c r="B10" i="2"/>
  <c r="H10" i="2"/>
  <c r="C9" i="2"/>
  <c r="I9" i="2"/>
  <c r="H9" i="2"/>
  <c r="H8" i="2"/>
  <c r="B8" i="2"/>
  <c r="F8" i="2"/>
  <c r="I8" i="2"/>
  <c r="J7" i="2"/>
  <c r="B7" i="2"/>
  <c r="F7" i="2"/>
  <c r="I6" i="2"/>
  <c r="H6" i="2"/>
  <c r="C6" i="2"/>
  <c r="H5" i="2"/>
  <c r="F5" i="2"/>
  <c r="I5" i="2"/>
  <c r="F4" i="2"/>
  <c r="I4" i="2"/>
  <c r="B4" i="2"/>
  <c r="H4" i="2"/>
  <c r="B3" i="2"/>
  <c r="J3" i="2"/>
  <c r="C3" i="2"/>
  <c r="I3" i="2"/>
  <c r="B3" i="8"/>
  <c r="B3" i="5"/>
  <c r="B3" i="9"/>
  <c r="B3" i="12"/>
  <c r="B3" i="7"/>
  <c r="B4" i="4"/>
  <c r="B4" i="5"/>
  <c r="B4" i="9"/>
  <c r="B4" i="7"/>
  <c r="B5" i="5"/>
  <c r="B5" i="7"/>
  <c r="B6" i="5"/>
  <c r="B6" i="7"/>
  <c r="B7" i="5"/>
  <c r="B8" i="5"/>
  <c r="B9" i="5"/>
  <c r="B10" i="5"/>
  <c r="B11" i="5"/>
  <c r="B12" i="5"/>
  <c r="N42" i="4" l="1"/>
  <c r="N45" i="4"/>
  <c r="N48" i="4"/>
  <c r="N49" i="4"/>
  <c r="L3" i="2"/>
  <c r="N44" i="4"/>
  <c r="N50" i="4"/>
  <c r="N40" i="4"/>
  <c r="N41" i="4"/>
  <c r="E3" i="2"/>
  <c r="N52" i="4"/>
  <c r="N37" i="4"/>
  <c r="N51" i="4"/>
  <c r="N39" i="4"/>
  <c r="N43" i="4"/>
  <c r="N38" i="4"/>
  <c r="N47" i="4"/>
  <c r="N46" i="4"/>
  <c r="K3" i="2"/>
  <c r="M3" i="2" s="1"/>
  <c r="E4" i="2"/>
  <c r="K4" i="2"/>
  <c r="L4" i="2"/>
  <c r="E7" i="2"/>
  <c r="L7" i="2"/>
  <c r="K7" i="2"/>
  <c r="K8" i="2"/>
  <c r="E8" i="2"/>
  <c r="L8" i="2"/>
  <c r="E10" i="2"/>
  <c r="L10" i="2"/>
  <c r="K10" i="2"/>
  <c r="K11" i="2"/>
  <c r="E11" i="2"/>
  <c r="L11" i="2"/>
  <c r="E14" i="2"/>
  <c r="L14" i="2"/>
  <c r="K14" i="2"/>
  <c r="K15" i="2"/>
  <c r="L15" i="2"/>
  <c r="E15" i="2"/>
  <c r="K18" i="2"/>
  <c r="L18" i="2"/>
  <c r="E18" i="2"/>
  <c r="E19" i="2"/>
  <c r="L19" i="2"/>
  <c r="K19" i="2"/>
  <c r="K20" i="2"/>
  <c r="L20" i="2"/>
  <c r="E20" i="2"/>
  <c r="E21" i="2"/>
  <c r="K21" i="2"/>
  <c r="L21" i="2"/>
  <c r="E23" i="2"/>
  <c r="K23" i="2"/>
  <c r="L23" i="2"/>
  <c r="L24" i="2"/>
  <c r="K24" i="2"/>
  <c r="E24" i="2"/>
  <c r="E25" i="2"/>
  <c r="K25" i="2"/>
  <c r="L25" i="2"/>
  <c r="E26" i="2"/>
  <c r="L26" i="2"/>
  <c r="K26" i="2"/>
  <c r="L28" i="2"/>
  <c r="E28" i="2"/>
  <c r="K28" i="2"/>
  <c r="M28" i="2" s="1"/>
  <c r="E29" i="2"/>
  <c r="L29" i="2"/>
  <c r="K29" i="2"/>
  <c r="E30" i="2"/>
  <c r="L30" i="2"/>
  <c r="K30" i="2"/>
  <c r="L32" i="2"/>
  <c r="K32" i="2"/>
  <c r="E32" i="2"/>
  <c r="E33" i="2"/>
  <c r="L33" i="2"/>
  <c r="K33" i="2"/>
  <c r="K34" i="2"/>
  <c r="L34" i="2"/>
  <c r="E34" i="2"/>
  <c r="E35" i="2"/>
  <c r="K35" i="2"/>
  <c r="L35" i="2"/>
  <c r="K36" i="2"/>
  <c r="L36" i="2"/>
  <c r="E36" i="2"/>
  <c r="L38" i="2"/>
  <c r="K38" i="2"/>
  <c r="E38" i="2"/>
  <c r="E39" i="2"/>
  <c r="K39" i="2"/>
  <c r="L39" i="2"/>
  <c r="E43" i="2"/>
  <c r="L43" i="2"/>
  <c r="K43" i="2"/>
  <c r="L44" i="2"/>
  <c r="K44" i="2"/>
  <c r="E44" i="2"/>
  <c r="E45" i="2"/>
  <c r="L45" i="2"/>
  <c r="K45" i="2"/>
  <c r="E47" i="2"/>
  <c r="L47" i="2"/>
  <c r="K47" i="2"/>
  <c r="E49" i="2"/>
  <c r="L49" i="2"/>
  <c r="K49" i="2"/>
  <c r="E50" i="2"/>
  <c r="K50" i="2"/>
  <c r="L50" i="2"/>
  <c r="L51" i="2"/>
  <c r="K51" i="2"/>
  <c r="E51" i="2"/>
  <c r="E53" i="2"/>
  <c r="L53" i="2"/>
  <c r="K53" i="2"/>
  <c r="K54" i="2"/>
  <c r="L54" i="2"/>
  <c r="E54" i="2"/>
  <c r="E55" i="2"/>
  <c r="L55" i="2"/>
  <c r="K55" i="2"/>
  <c r="L56" i="2"/>
  <c r="E56" i="2"/>
  <c r="K56" i="2"/>
  <c r="M56" i="2" s="1"/>
  <c r="E57" i="2"/>
  <c r="K57" i="2"/>
  <c r="L57" i="2"/>
  <c r="E60" i="2"/>
  <c r="K60" i="2"/>
  <c r="L60" i="2"/>
  <c r="L5" i="2"/>
  <c r="E5" i="2"/>
  <c r="K5" i="2"/>
  <c r="L6" i="2"/>
  <c r="E6" i="2"/>
  <c r="K6" i="2"/>
  <c r="M6" i="2" s="1"/>
  <c r="E9" i="2"/>
  <c r="K9" i="2"/>
  <c r="L9" i="2"/>
  <c r="E12" i="2"/>
  <c r="K12" i="2"/>
  <c r="L12" i="2"/>
  <c r="L13" i="2"/>
  <c r="K13" i="2"/>
  <c r="E13" i="2"/>
  <c r="E16" i="2"/>
  <c r="K16" i="2"/>
  <c r="L16" i="2"/>
  <c r="L17" i="2"/>
  <c r="K17" i="2"/>
  <c r="E17" i="2"/>
  <c r="K22" i="2"/>
  <c r="L22" i="2"/>
  <c r="E22" i="2"/>
  <c r="L27" i="2"/>
  <c r="K27" i="2"/>
  <c r="E27" i="2"/>
  <c r="L31" i="2"/>
  <c r="E31" i="2"/>
  <c r="K31" i="2"/>
  <c r="E37" i="2"/>
  <c r="K37" i="2"/>
  <c r="L37" i="2"/>
  <c r="K40" i="2"/>
  <c r="L40" i="2"/>
  <c r="E40" i="2"/>
  <c r="E41" i="2"/>
  <c r="K41" i="2"/>
  <c r="L41" i="2"/>
  <c r="K42" i="2"/>
  <c r="L42" i="2"/>
  <c r="E42" i="2"/>
  <c r="K46" i="2"/>
  <c r="E46" i="2"/>
  <c r="L46" i="2"/>
  <c r="L48" i="2"/>
  <c r="E48" i="2"/>
  <c r="K48" i="2"/>
  <c r="M48" i="2" s="1"/>
  <c r="K52" i="2"/>
  <c r="L52" i="2"/>
  <c r="E52" i="2"/>
  <c r="E58" i="2"/>
  <c r="L58" i="2"/>
  <c r="K58" i="2"/>
  <c r="K59" i="2"/>
  <c r="E59" i="2"/>
  <c r="L59" i="2"/>
  <c r="K29" i="4"/>
  <c r="L29" i="4" s="1"/>
  <c r="M29" i="4" s="1"/>
  <c r="N30" i="4"/>
  <c r="A30" i="4"/>
  <c r="K30" i="4"/>
  <c r="L30" i="4" s="1"/>
  <c r="M30" i="4" s="1"/>
  <c r="N31" i="4"/>
  <c r="A31" i="4"/>
  <c r="K32" i="4"/>
  <c r="L32" i="4" s="1"/>
  <c r="M32" i="4" s="1"/>
  <c r="K33" i="4"/>
  <c r="L33" i="4" s="1"/>
  <c r="M33" i="4" s="1"/>
  <c r="N33" i="4"/>
  <c r="A33" i="4"/>
  <c r="A34" i="4"/>
  <c r="N34" i="4"/>
  <c r="K34" i="4"/>
  <c r="L34" i="4" s="1"/>
  <c r="M34" i="4" s="1"/>
  <c r="N35" i="4"/>
  <c r="A35" i="4"/>
  <c r="K35" i="4"/>
  <c r="L35" i="4" s="1"/>
  <c r="M35" i="4" s="1"/>
  <c r="A36" i="4"/>
  <c r="N36" i="4"/>
  <c r="N29" i="4"/>
  <c r="A29" i="4"/>
  <c r="K31" i="4"/>
  <c r="L31" i="4" s="1"/>
  <c r="M31" i="4" s="1"/>
  <c r="N32" i="4"/>
  <c r="A32" i="4"/>
  <c r="K36" i="4"/>
  <c r="L36" i="4" s="1"/>
  <c r="M36" i="4" s="1"/>
  <c r="O62" i="2"/>
  <c r="P62" i="2" s="1"/>
  <c r="Q62" i="2" s="1"/>
  <c r="B13" i="5"/>
  <c r="D12" i="5"/>
  <c r="C12" i="5"/>
  <c r="H11" i="5"/>
  <c r="G11" i="5"/>
  <c r="E11" i="5"/>
  <c r="C10" i="5"/>
  <c r="E10" i="5"/>
  <c r="F10" i="5"/>
  <c r="C9" i="5"/>
  <c r="D9" i="5"/>
  <c r="E9" i="5"/>
  <c r="C8" i="5"/>
  <c r="G8" i="5"/>
  <c r="E8" i="5"/>
  <c r="G7" i="5"/>
  <c r="E7" i="5"/>
  <c r="H7" i="5"/>
  <c r="F6" i="7"/>
  <c r="C6" i="7"/>
  <c r="H6" i="7"/>
  <c r="D6" i="5"/>
  <c r="E6" i="5"/>
  <c r="F6" i="5"/>
  <c r="F5" i="7"/>
  <c r="C5" i="7"/>
  <c r="D5" i="7"/>
  <c r="G5" i="7"/>
  <c r="D5" i="5"/>
  <c r="C5" i="5"/>
  <c r="G5" i="5"/>
  <c r="H4" i="7"/>
  <c r="C4" i="7"/>
  <c r="E4" i="7"/>
  <c r="J4" i="9"/>
  <c r="F4" i="9"/>
  <c r="I4" i="9"/>
  <c r="D4" i="9"/>
  <c r="C4" i="5"/>
  <c r="E4" i="5"/>
  <c r="D4" i="5"/>
  <c r="B5" i="4"/>
  <c r="F4" i="4"/>
  <c r="I4" i="4"/>
  <c r="C4" i="4"/>
  <c r="H4" i="4"/>
  <c r="F3" i="7"/>
  <c r="H3" i="7"/>
  <c r="C3" i="7"/>
  <c r="D3" i="12"/>
  <c r="G3" i="12"/>
  <c r="F3" i="12"/>
  <c r="D3" i="9"/>
  <c r="C3" i="9"/>
  <c r="J3" i="9"/>
  <c r="I3" i="9"/>
  <c r="C3" i="5"/>
  <c r="E3" i="5"/>
  <c r="G3" i="5"/>
  <c r="C3" i="8"/>
  <c r="I3" i="8"/>
  <c r="F3" i="8"/>
  <c r="J3" i="8"/>
  <c r="N3" i="2"/>
  <c r="N4" i="2"/>
  <c r="N15" i="2"/>
  <c r="N19" i="2"/>
  <c r="N21" i="2"/>
  <c r="N24" i="2"/>
  <c r="N26" i="2"/>
  <c r="N28" i="2"/>
  <c r="N29" i="2"/>
  <c r="N32" i="2"/>
  <c r="N34" i="2"/>
  <c r="N36" i="2"/>
  <c r="N39" i="2"/>
  <c r="N44" i="2"/>
  <c r="N47" i="2"/>
  <c r="N50" i="2"/>
  <c r="N53" i="2"/>
  <c r="N55" i="2"/>
  <c r="N56" i="2"/>
  <c r="N57" i="2"/>
  <c r="N6" i="2"/>
  <c r="N9" i="2"/>
  <c r="N13" i="2"/>
  <c r="N17" i="2"/>
  <c r="N27" i="2"/>
  <c r="N31" i="2"/>
  <c r="N41" i="2"/>
  <c r="N52" i="2"/>
  <c r="G12" i="5"/>
  <c r="F12" i="5"/>
  <c r="E12" i="5"/>
  <c r="H12" i="5"/>
  <c r="C11" i="5"/>
  <c r="D11" i="5"/>
  <c r="F11" i="5"/>
  <c r="G10" i="5"/>
  <c r="H10" i="5"/>
  <c r="D10" i="5"/>
  <c r="F9" i="5"/>
  <c r="H9" i="5"/>
  <c r="G9" i="5"/>
  <c r="D8" i="5"/>
  <c r="F8" i="5"/>
  <c r="H8" i="5"/>
  <c r="F7" i="5"/>
  <c r="D7" i="5"/>
  <c r="C7" i="5"/>
  <c r="D6" i="7"/>
  <c r="G6" i="7"/>
  <c r="E6" i="7"/>
  <c r="H6" i="5"/>
  <c r="G6" i="5"/>
  <c r="C6" i="5"/>
  <c r="H5" i="7"/>
  <c r="E5" i="7"/>
  <c r="E5" i="5"/>
  <c r="H5" i="5"/>
  <c r="F5" i="5"/>
  <c r="D4" i="7"/>
  <c r="G4" i="7"/>
  <c r="F4" i="7"/>
  <c r="H4" i="9"/>
  <c r="G4" i="9"/>
  <c r="E4" i="9"/>
  <c r="C4" i="9"/>
  <c r="F4" i="5"/>
  <c r="H4" i="5"/>
  <c r="G4" i="5"/>
  <c r="J4" i="4"/>
  <c r="D4" i="4"/>
  <c r="E4" i="4"/>
  <c r="G4" i="4"/>
  <c r="D3" i="7"/>
  <c r="G3" i="7"/>
  <c r="E3" i="7"/>
  <c r="H3" i="12"/>
  <c r="C3" i="12"/>
  <c r="E3" i="12"/>
  <c r="E3" i="9"/>
  <c r="G3" i="9"/>
  <c r="H3" i="9"/>
  <c r="F3" i="9"/>
  <c r="F3" i="5"/>
  <c r="D3" i="5"/>
  <c r="H3" i="5"/>
  <c r="D3" i="8"/>
  <c r="E3" i="8"/>
  <c r="H3" i="8"/>
  <c r="G3" i="8"/>
  <c r="N7" i="2"/>
  <c r="N8" i="2"/>
  <c r="N10" i="2"/>
  <c r="N11" i="2"/>
  <c r="N14" i="2"/>
  <c r="N18" i="2"/>
  <c r="N20" i="2"/>
  <c r="N23" i="2"/>
  <c r="N25" i="2"/>
  <c r="N30" i="2"/>
  <c r="N33" i="2"/>
  <c r="N35" i="2"/>
  <c r="N38" i="2"/>
  <c r="N43" i="2"/>
  <c r="N45" i="2"/>
  <c r="N49" i="2"/>
  <c r="N51" i="2"/>
  <c r="N54" i="2"/>
  <c r="N60" i="2"/>
  <c r="N5" i="2"/>
  <c r="N12" i="2"/>
  <c r="N16" i="2"/>
  <c r="N22" i="2"/>
  <c r="N40" i="2"/>
  <c r="N42" i="2"/>
  <c r="N46" i="2"/>
  <c r="N58" i="2"/>
  <c r="N59" i="2"/>
  <c r="N37" i="2"/>
  <c r="N48" i="2"/>
  <c r="M31" i="2" l="1"/>
  <c r="I12" i="5" s="1"/>
  <c r="M8" i="2"/>
  <c r="M11" i="2"/>
  <c r="M5" i="2"/>
  <c r="M52" i="2"/>
  <c r="O52" i="2" s="1"/>
  <c r="P52" i="2" s="1"/>
  <c r="Q52" i="2" s="1"/>
  <c r="M16" i="2"/>
  <c r="I3" i="5" s="1"/>
  <c r="M12" i="2"/>
  <c r="O12" i="2" s="1"/>
  <c r="P12" i="2" s="1"/>
  <c r="Q12" i="2" s="1"/>
  <c r="M60" i="2"/>
  <c r="O60" i="2" s="1"/>
  <c r="P60" i="2" s="1"/>
  <c r="Q60" i="2" s="1"/>
  <c r="M55" i="2"/>
  <c r="O55" i="2" s="1"/>
  <c r="P55" i="2" s="1"/>
  <c r="Q55" i="2" s="1"/>
  <c r="M53" i="2"/>
  <c r="O53" i="2" s="1"/>
  <c r="P53" i="2" s="1"/>
  <c r="Q53" i="2" s="1"/>
  <c r="M51" i="2"/>
  <c r="O51" i="2" s="1"/>
  <c r="P51" i="2" s="1"/>
  <c r="Q51" i="2" s="1"/>
  <c r="M47" i="2"/>
  <c r="O47" i="2" s="1"/>
  <c r="P47" i="2" s="1"/>
  <c r="Q47" i="2" s="1"/>
  <c r="M38" i="2"/>
  <c r="O38" i="2" s="1"/>
  <c r="P38" i="2" s="1"/>
  <c r="Q38" i="2" s="1"/>
  <c r="M36" i="2"/>
  <c r="O36" i="2" s="1"/>
  <c r="P36" i="2" s="1"/>
  <c r="Q36" i="2" s="1"/>
  <c r="M35" i="2"/>
  <c r="O35" i="2" s="1"/>
  <c r="P35" i="2" s="1"/>
  <c r="Q35" i="2" s="1"/>
  <c r="M34" i="2"/>
  <c r="O34" i="2" s="1"/>
  <c r="P34" i="2" s="1"/>
  <c r="Q34" i="2" s="1"/>
  <c r="M29" i="2"/>
  <c r="I10" i="5" s="1"/>
  <c r="M26" i="2"/>
  <c r="I3" i="7" s="1"/>
  <c r="M25" i="2"/>
  <c r="O25" i="2" s="1"/>
  <c r="P25" i="2" s="1"/>
  <c r="Q25" i="2" s="1"/>
  <c r="M23" i="2"/>
  <c r="I8" i="5" s="1"/>
  <c r="M19" i="2"/>
  <c r="O19" i="2" s="1"/>
  <c r="P19" i="2" s="1"/>
  <c r="Q19" i="2" s="1"/>
  <c r="M15" i="2"/>
  <c r="O15" i="2" s="1"/>
  <c r="P15" i="2" s="1"/>
  <c r="Q15" i="2" s="1"/>
  <c r="O48" i="2"/>
  <c r="P48" i="2" s="1"/>
  <c r="Q48" i="2" s="1"/>
  <c r="J6" i="7"/>
  <c r="J7" i="5"/>
  <c r="J3" i="5"/>
  <c r="O5" i="2"/>
  <c r="P5" i="2" s="1"/>
  <c r="Q5" i="2" s="1"/>
  <c r="J5" i="7"/>
  <c r="J11" i="5"/>
  <c r="J8" i="5"/>
  <c r="J5" i="5"/>
  <c r="A3" i="12"/>
  <c r="A4" i="9"/>
  <c r="A6" i="5"/>
  <c r="A7" i="5"/>
  <c r="A11" i="5"/>
  <c r="O31" i="2"/>
  <c r="P31" i="2" s="1"/>
  <c r="Q31" i="2" s="1"/>
  <c r="J12" i="5"/>
  <c r="K12" i="5" s="1"/>
  <c r="L12" i="5" s="1"/>
  <c r="M12" i="5" s="1"/>
  <c r="J9" i="5"/>
  <c r="J4" i="5"/>
  <c r="O6" i="2"/>
  <c r="P6" i="2" s="1"/>
  <c r="Q6" i="2" s="1"/>
  <c r="O56" i="2"/>
  <c r="P56" i="2" s="1"/>
  <c r="Q56" i="2" s="1"/>
  <c r="J4" i="7"/>
  <c r="J10" i="5"/>
  <c r="O28" i="2"/>
  <c r="P28" i="2" s="1"/>
  <c r="Q28" i="2" s="1"/>
  <c r="J3" i="7"/>
  <c r="J6" i="5"/>
  <c r="J3" i="12"/>
  <c r="O3" i="2"/>
  <c r="P3" i="2" s="1"/>
  <c r="Q3" i="2" s="1"/>
  <c r="K3" i="8"/>
  <c r="L3" i="8" s="1"/>
  <c r="M3" i="8" s="1"/>
  <c r="A3" i="8"/>
  <c r="A3" i="5"/>
  <c r="K3" i="9"/>
  <c r="L3" i="9" s="1"/>
  <c r="M3" i="9" s="1"/>
  <c r="A3" i="9"/>
  <c r="A3" i="7"/>
  <c r="A4" i="4"/>
  <c r="N4" i="4"/>
  <c r="K4" i="4"/>
  <c r="L4" i="4" s="1"/>
  <c r="M4" i="4" s="1"/>
  <c r="A4" i="5"/>
  <c r="K4" i="9"/>
  <c r="L4" i="9" s="1"/>
  <c r="M4" i="9" s="1"/>
  <c r="A4" i="7"/>
  <c r="A5" i="5"/>
  <c r="A5" i="7"/>
  <c r="A6" i="7"/>
  <c r="A8" i="5"/>
  <c r="A9" i="5"/>
  <c r="A10" i="5"/>
  <c r="A12" i="5"/>
  <c r="J13" i="5"/>
  <c r="O8" i="2"/>
  <c r="P8" i="2" s="1"/>
  <c r="Q8" i="2" s="1"/>
  <c r="M46" i="2"/>
  <c r="O46" i="2" s="1"/>
  <c r="P46" i="2" s="1"/>
  <c r="Q46" i="2" s="1"/>
  <c r="O11" i="2"/>
  <c r="P11" i="2" s="1"/>
  <c r="Q11" i="2" s="1"/>
  <c r="M58" i="2"/>
  <c r="O58" i="2" s="1"/>
  <c r="P58" i="2" s="1"/>
  <c r="Q58" i="2" s="1"/>
  <c r="M42" i="2"/>
  <c r="O42" i="2" s="1"/>
  <c r="P42" i="2" s="1"/>
  <c r="Q42" i="2" s="1"/>
  <c r="M41" i="2"/>
  <c r="O41" i="2" s="1"/>
  <c r="P41" i="2" s="1"/>
  <c r="Q41" i="2" s="1"/>
  <c r="M40" i="2"/>
  <c r="O40" i="2" s="1"/>
  <c r="P40" i="2" s="1"/>
  <c r="Q40" i="2" s="1"/>
  <c r="M37" i="2"/>
  <c r="O37" i="2" s="1"/>
  <c r="P37" i="2" s="1"/>
  <c r="Q37" i="2" s="1"/>
  <c r="M27" i="2"/>
  <c r="M22" i="2"/>
  <c r="M17" i="2"/>
  <c r="M13" i="2"/>
  <c r="O13" i="2" s="1"/>
  <c r="P13" i="2" s="1"/>
  <c r="Q13" i="2" s="1"/>
  <c r="M9" i="2"/>
  <c r="O9" i="2" s="1"/>
  <c r="P9" i="2" s="1"/>
  <c r="Q9" i="2" s="1"/>
  <c r="M57" i="2"/>
  <c r="O57" i="2" s="1"/>
  <c r="P57" i="2" s="1"/>
  <c r="Q57" i="2" s="1"/>
  <c r="M54" i="2"/>
  <c r="O54" i="2" s="1"/>
  <c r="P54" i="2" s="1"/>
  <c r="Q54" i="2" s="1"/>
  <c r="M50" i="2"/>
  <c r="O50" i="2" s="1"/>
  <c r="P50" i="2" s="1"/>
  <c r="Q50" i="2" s="1"/>
  <c r="M49" i="2"/>
  <c r="O49" i="2" s="1"/>
  <c r="P49" i="2" s="1"/>
  <c r="Q49" i="2" s="1"/>
  <c r="M45" i="2"/>
  <c r="O45" i="2" s="1"/>
  <c r="P45" i="2" s="1"/>
  <c r="Q45" i="2" s="1"/>
  <c r="M44" i="2"/>
  <c r="O44" i="2" s="1"/>
  <c r="P44" i="2" s="1"/>
  <c r="Q44" i="2" s="1"/>
  <c r="M43" i="2"/>
  <c r="M39" i="2"/>
  <c r="O39" i="2" s="1"/>
  <c r="P39" i="2" s="1"/>
  <c r="Q39" i="2" s="1"/>
  <c r="M33" i="2"/>
  <c r="M32" i="2"/>
  <c r="M30" i="2"/>
  <c r="M24" i="2"/>
  <c r="O24" i="2" s="1"/>
  <c r="P24" i="2" s="1"/>
  <c r="Q24" i="2" s="1"/>
  <c r="M21" i="2"/>
  <c r="M20" i="2"/>
  <c r="O20" i="2" s="1"/>
  <c r="P20" i="2" s="1"/>
  <c r="Q20" i="2" s="1"/>
  <c r="M18" i="2"/>
  <c r="M14" i="2"/>
  <c r="O14" i="2" s="1"/>
  <c r="P14" i="2" s="1"/>
  <c r="Q14" i="2" s="1"/>
  <c r="M10" i="2"/>
  <c r="O10" i="2" s="1"/>
  <c r="P10" i="2" s="1"/>
  <c r="Q10" i="2" s="1"/>
  <c r="M7" i="2"/>
  <c r="O7" i="2" s="1"/>
  <c r="P7" i="2" s="1"/>
  <c r="Q7" i="2" s="1"/>
  <c r="M4" i="2"/>
  <c r="O4" i="2" s="1"/>
  <c r="P4" i="2" s="1"/>
  <c r="Q4" i="2" s="1"/>
  <c r="M59" i="2"/>
  <c r="D88" i="2"/>
  <c r="D72" i="2"/>
  <c r="D86" i="2"/>
  <c r="D82" i="2"/>
  <c r="D71" i="2"/>
  <c r="D91" i="2"/>
  <c r="D76" i="2"/>
  <c r="D77" i="2"/>
  <c r="D79" i="2"/>
  <c r="D92" i="2"/>
  <c r="D87" i="2"/>
  <c r="D85" i="2"/>
  <c r="D69" i="2"/>
  <c r="D83" i="2"/>
  <c r="D2" i="2"/>
  <c r="D93" i="2"/>
  <c r="D90" i="2"/>
  <c r="D81" i="2"/>
  <c r="D75" i="2"/>
  <c r="D73" i="2"/>
  <c r="D84" i="2"/>
  <c r="D80" i="2"/>
  <c r="D70" i="2"/>
  <c r="D89" i="2"/>
  <c r="D74" i="2"/>
  <c r="D78" i="2"/>
  <c r="D68" i="2"/>
  <c r="D62" i="2"/>
  <c r="D63" i="2"/>
  <c r="D64" i="2"/>
  <c r="D65" i="2"/>
  <c r="D66" i="2"/>
  <c r="D61" i="2"/>
  <c r="D67" i="2"/>
  <c r="D6" i="2"/>
  <c r="D7" i="2"/>
  <c r="D8" i="2"/>
  <c r="D10" i="2"/>
  <c r="D11" i="2"/>
  <c r="D13" i="2"/>
  <c r="D14" i="2"/>
  <c r="D15" i="2"/>
  <c r="D16" i="2"/>
  <c r="D18" i="2"/>
  <c r="D19" i="2"/>
  <c r="D20" i="2"/>
  <c r="D21" i="2"/>
  <c r="D22" i="2"/>
  <c r="D23" i="2"/>
  <c r="D24" i="2"/>
  <c r="D25" i="2"/>
  <c r="D29" i="2"/>
  <c r="D31" i="2"/>
  <c r="D32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2" i="2"/>
  <c r="D55" i="2"/>
  <c r="D58" i="2"/>
  <c r="D59" i="2"/>
  <c r="D60" i="2"/>
  <c r="D3" i="2"/>
  <c r="D4" i="2"/>
  <c r="D5" i="2"/>
  <c r="D9" i="2"/>
  <c r="D12" i="2"/>
  <c r="D17" i="2"/>
  <c r="D26" i="2"/>
  <c r="D27" i="2"/>
  <c r="D28" i="2"/>
  <c r="D30" i="2"/>
  <c r="D33" i="2"/>
  <c r="D34" i="2"/>
  <c r="D45" i="2"/>
  <c r="D51" i="2"/>
  <c r="D53" i="2"/>
  <c r="D54" i="2"/>
  <c r="D56" i="2"/>
  <c r="D57" i="2"/>
  <c r="F5" i="4"/>
  <c r="I5" i="4"/>
  <c r="C5" i="4"/>
  <c r="G5" i="4"/>
  <c r="B14" i="5"/>
  <c r="F13" i="5"/>
  <c r="G13" i="5"/>
  <c r="D13" i="5"/>
  <c r="B6" i="4"/>
  <c r="J5" i="4"/>
  <c r="D5" i="4"/>
  <c r="E5" i="4"/>
  <c r="H5" i="4"/>
  <c r="H13" i="5"/>
  <c r="E13" i="5"/>
  <c r="C13" i="5"/>
  <c r="K10" i="5" l="1"/>
  <c r="L10" i="5" s="1"/>
  <c r="M10" i="5" s="1"/>
  <c r="K3" i="5"/>
  <c r="L3" i="5" s="1"/>
  <c r="M3" i="5" s="1"/>
  <c r="I3" i="12"/>
  <c r="K3" i="12" s="1"/>
  <c r="L3" i="12" s="1"/>
  <c r="M3" i="12" s="1"/>
  <c r="K3" i="7"/>
  <c r="L3" i="7" s="1"/>
  <c r="M3" i="7" s="1"/>
  <c r="K8" i="5"/>
  <c r="L8" i="5" s="1"/>
  <c r="M8" i="5" s="1"/>
  <c r="O26" i="2"/>
  <c r="P26" i="2" s="1"/>
  <c r="Q26" i="2" s="1"/>
  <c r="O23" i="2"/>
  <c r="P23" i="2" s="1"/>
  <c r="Q23" i="2" s="1"/>
  <c r="O16" i="2"/>
  <c r="P16" i="2" s="1"/>
  <c r="Q16" i="2" s="1"/>
  <c r="O29" i="2"/>
  <c r="P29" i="2" s="1"/>
  <c r="Q29" i="2" s="1"/>
  <c r="A13" i="5"/>
  <c r="J14" i="5"/>
  <c r="I14" i="5"/>
  <c r="A5" i="4"/>
  <c r="N5" i="4"/>
  <c r="K5" i="4"/>
  <c r="L5" i="4" s="1"/>
  <c r="M5" i="4" s="1"/>
  <c r="O22" i="2"/>
  <c r="P22" i="2" s="1"/>
  <c r="Q22" i="2" s="1"/>
  <c r="I7" i="5"/>
  <c r="K7" i="5" s="1"/>
  <c r="L7" i="5" s="1"/>
  <c r="M7" i="5" s="1"/>
  <c r="I4" i="7"/>
  <c r="K4" i="7" s="1"/>
  <c r="L4" i="7" s="1"/>
  <c r="M4" i="7" s="1"/>
  <c r="O32" i="2"/>
  <c r="P32" i="2" s="1"/>
  <c r="Q32" i="2" s="1"/>
  <c r="O59" i="2"/>
  <c r="P59" i="2" s="1"/>
  <c r="Q59" i="2" s="1"/>
  <c r="I6" i="7"/>
  <c r="K6" i="7" s="1"/>
  <c r="L6" i="7" s="1"/>
  <c r="M6" i="7" s="1"/>
  <c r="I5" i="5"/>
  <c r="K5" i="5" s="1"/>
  <c r="L5" i="5" s="1"/>
  <c r="M5" i="5" s="1"/>
  <c r="O18" i="2"/>
  <c r="P18" i="2" s="1"/>
  <c r="Q18" i="2" s="1"/>
  <c r="I6" i="5"/>
  <c r="K6" i="5" s="1"/>
  <c r="L6" i="5" s="1"/>
  <c r="M6" i="5" s="1"/>
  <c r="O21" i="2"/>
  <c r="P21" i="2" s="1"/>
  <c r="Q21" i="2" s="1"/>
  <c r="O30" i="2"/>
  <c r="P30" i="2" s="1"/>
  <c r="Q30" i="2" s="1"/>
  <c r="I11" i="5"/>
  <c r="K11" i="5" s="1"/>
  <c r="L11" i="5" s="1"/>
  <c r="M11" i="5" s="1"/>
  <c r="I13" i="5"/>
  <c r="K13" i="5" s="1"/>
  <c r="L13" i="5" s="1"/>
  <c r="M13" i="5" s="1"/>
  <c r="O33" i="2"/>
  <c r="P33" i="2" s="1"/>
  <c r="Q33" i="2" s="1"/>
  <c r="I5" i="7"/>
  <c r="K5" i="7" s="1"/>
  <c r="L5" i="7" s="1"/>
  <c r="M5" i="7" s="1"/>
  <c r="O43" i="2"/>
  <c r="P43" i="2" s="1"/>
  <c r="Q43" i="2" s="1"/>
  <c r="O17" i="2"/>
  <c r="P17" i="2" s="1"/>
  <c r="Q17" i="2" s="1"/>
  <c r="I4" i="5"/>
  <c r="K4" i="5" s="1"/>
  <c r="L4" i="5" s="1"/>
  <c r="M4" i="5" s="1"/>
  <c r="O27" i="2"/>
  <c r="P27" i="2" s="1"/>
  <c r="Q27" i="2" s="1"/>
  <c r="I9" i="5"/>
  <c r="K9" i="5" s="1"/>
  <c r="L9" i="5" s="1"/>
  <c r="M9" i="5" s="1"/>
  <c r="E6" i="4"/>
  <c r="D6" i="4"/>
  <c r="J6" i="4"/>
  <c r="I6" i="4"/>
  <c r="B15" i="5"/>
  <c r="E14" i="5"/>
  <c r="C14" i="5"/>
  <c r="F14" i="5"/>
  <c r="B7" i="4"/>
  <c r="H6" i="4"/>
  <c r="C6" i="4"/>
  <c r="G6" i="4"/>
  <c r="F6" i="4"/>
  <c r="D14" i="5"/>
  <c r="H14" i="5"/>
  <c r="G14" i="5"/>
  <c r="K14" i="5" l="1"/>
  <c r="L14" i="5" s="1"/>
  <c r="M14" i="5" s="1"/>
  <c r="A6" i="4"/>
  <c r="N6" i="4"/>
  <c r="A14" i="5"/>
  <c r="I15" i="5"/>
  <c r="J15" i="5"/>
  <c r="K6" i="4"/>
  <c r="L6" i="4" s="1"/>
  <c r="M6" i="4" s="1"/>
  <c r="B8" i="4"/>
  <c r="D7" i="4"/>
  <c r="F7" i="4"/>
  <c r="C7" i="4"/>
  <c r="G7" i="4"/>
  <c r="B16" i="5"/>
  <c r="E15" i="5"/>
  <c r="H15" i="5"/>
  <c r="D15" i="5"/>
  <c r="F15" i="5"/>
  <c r="G15" i="5"/>
  <c r="C15" i="5"/>
  <c r="H7" i="4"/>
  <c r="E7" i="4"/>
  <c r="I7" i="4"/>
  <c r="J7" i="4"/>
  <c r="K7" i="4" l="1"/>
  <c r="L7" i="4" s="1"/>
  <c r="M7" i="4" s="1"/>
  <c r="A15" i="5"/>
  <c r="J16" i="5"/>
  <c r="I16" i="5"/>
  <c r="A7" i="4"/>
  <c r="N7" i="4"/>
  <c r="K15" i="5"/>
  <c r="L15" i="5" s="1"/>
  <c r="M15" i="5" s="1"/>
  <c r="B17" i="5"/>
  <c r="G16" i="5"/>
  <c r="D16" i="5"/>
  <c r="F16" i="5"/>
  <c r="C8" i="4"/>
  <c r="I8" i="4"/>
  <c r="F8" i="4"/>
  <c r="E8" i="4"/>
  <c r="C16" i="5"/>
  <c r="E16" i="5"/>
  <c r="H16" i="5"/>
  <c r="B9" i="4"/>
  <c r="D8" i="4"/>
  <c r="G8" i="4"/>
  <c r="H8" i="4"/>
  <c r="J8" i="4"/>
  <c r="A16" i="5" l="1"/>
  <c r="K8" i="4"/>
  <c r="L8" i="4" s="1"/>
  <c r="M8" i="4" s="1"/>
  <c r="N8" i="4"/>
  <c r="A8" i="4"/>
  <c r="I17" i="5"/>
  <c r="J17" i="5"/>
  <c r="K16" i="5"/>
  <c r="L16" i="5" s="1"/>
  <c r="M16" i="5" s="1"/>
  <c r="B10" i="4"/>
  <c r="I9" i="4"/>
  <c r="G9" i="4"/>
  <c r="H9" i="4"/>
  <c r="J9" i="4"/>
  <c r="E17" i="5"/>
  <c r="C17" i="5"/>
  <c r="H17" i="5"/>
  <c r="C9" i="4"/>
  <c r="D9" i="4"/>
  <c r="F9" i="4"/>
  <c r="E9" i="4"/>
  <c r="B18" i="5"/>
  <c r="F17" i="5"/>
  <c r="D17" i="5"/>
  <c r="G17" i="5"/>
  <c r="K17" i="5" l="1"/>
  <c r="L17" i="5" s="1"/>
  <c r="M17" i="5" s="1"/>
  <c r="J18" i="5"/>
  <c r="I18" i="5"/>
  <c r="N9" i="4"/>
  <c r="A9" i="4"/>
  <c r="A17" i="5"/>
  <c r="K9" i="4"/>
  <c r="L9" i="4" s="1"/>
  <c r="M9" i="4" s="1"/>
  <c r="B19" i="5"/>
  <c r="G18" i="5"/>
  <c r="F18" i="5"/>
  <c r="C18" i="5"/>
  <c r="H10" i="4"/>
  <c r="E10" i="4"/>
  <c r="G10" i="4"/>
  <c r="F10" i="4"/>
  <c r="B11" i="4"/>
  <c r="D10" i="4"/>
  <c r="J10" i="4"/>
  <c r="I10" i="4"/>
  <c r="C10" i="4"/>
  <c r="E18" i="5"/>
  <c r="H18" i="5"/>
  <c r="D18" i="5"/>
  <c r="K18" i="5" l="1"/>
  <c r="L18" i="5" s="1"/>
  <c r="M18" i="5" s="1"/>
  <c r="A10" i="4"/>
  <c r="N10" i="4"/>
  <c r="K10" i="4"/>
  <c r="L10" i="4" s="1"/>
  <c r="M10" i="4" s="1"/>
  <c r="A18" i="5"/>
  <c r="I19" i="5"/>
  <c r="J19" i="5"/>
  <c r="F11" i="4"/>
  <c r="D11" i="4"/>
  <c r="J11" i="4"/>
  <c r="C11" i="4"/>
  <c r="B12" i="4"/>
  <c r="E11" i="4"/>
  <c r="H11" i="4"/>
  <c r="I11" i="4"/>
  <c r="G11" i="4"/>
  <c r="B20" i="5"/>
  <c r="D19" i="5"/>
  <c r="F19" i="5"/>
  <c r="E19" i="5"/>
  <c r="C19" i="5"/>
  <c r="H19" i="5"/>
  <c r="G19" i="5"/>
  <c r="K19" i="5" l="1"/>
  <c r="L19" i="5" s="1"/>
  <c r="M19" i="5" s="1"/>
  <c r="A19" i="5"/>
  <c r="I20" i="5"/>
  <c r="J20" i="5"/>
  <c r="K11" i="4"/>
  <c r="L11" i="4" s="1"/>
  <c r="M11" i="4" s="1"/>
  <c r="N11" i="4"/>
  <c r="A11" i="4"/>
  <c r="I12" i="4"/>
  <c r="B21" i="5"/>
  <c r="H20" i="5"/>
  <c r="G20" i="5"/>
  <c r="E20" i="5"/>
  <c r="B13" i="4"/>
  <c r="G12" i="4"/>
  <c r="F12" i="4"/>
  <c r="C12" i="4"/>
  <c r="D12" i="4"/>
  <c r="F20" i="5"/>
  <c r="D20" i="5"/>
  <c r="C20" i="5"/>
  <c r="E12" i="4"/>
  <c r="J12" i="4"/>
  <c r="H12" i="4"/>
  <c r="K20" i="5" l="1"/>
  <c r="L20" i="5" s="1"/>
  <c r="M20" i="5" s="1"/>
  <c r="A20" i="5"/>
  <c r="N12" i="4"/>
  <c r="A12" i="4"/>
  <c r="I21" i="5"/>
  <c r="J21" i="5"/>
  <c r="K12" i="4"/>
  <c r="L12" i="4" s="1"/>
  <c r="M12" i="4" s="1"/>
  <c r="B14" i="4"/>
  <c r="E13" i="4"/>
  <c r="H13" i="4"/>
  <c r="I13" i="4"/>
  <c r="J13" i="4"/>
  <c r="C21" i="5"/>
  <c r="D21" i="5"/>
  <c r="G21" i="5"/>
  <c r="G13" i="4"/>
  <c r="D13" i="4"/>
  <c r="C13" i="4"/>
  <c r="F13" i="4"/>
  <c r="B22" i="5"/>
  <c r="H21" i="5"/>
  <c r="F21" i="5"/>
  <c r="E21" i="5"/>
  <c r="J22" i="5" l="1"/>
  <c r="I22" i="5"/>
  <c r="A13" i="4"/>
  <c r="N13" i="4"/>
  <c r="A21" i="5"/>
  <c r="K13" i="4"/>
  <c r="L13" i="4" s="1"/>
  <c r="M13" i="4" s="1"/>
  <c r="K21" i="5"/>
  <c r="L21" i="5" s="1"/>
  <c r="M21" i="5" s="1"/>
  <c r="B23" i="5"/>
  <c r="C22" i="5"/>
  <c r="G22" i="5"/>
  <c r="F22" i="5"/>
  <c r="I14" i="4"/>
  <c r="G14" i="4"/>
  <c r="D14" i="4"/>
  <c r="J14" i="4"/>
  <c r="B15" i="4"/>
  <c r="F14" i="4"/>
  <c r="C14" i="4"/>
  <c r="E14" i="4"/>
  <c r="H14" i="4"/>
  <c r="D22" i="5"/>
  <c r="H22" i="5"/>
  <c r="E22" i="5"/>
  <c r="K22" i="5" l="1"/>
  <c r="L22" i="5" s="1"/>
  <c r="M22" i="5" s="1"/>
  <c r="N14" i="4"/>
  <c r="A14" i="4"/>
  <c r="K14" i="4"/>
  <c r="L14" i="4" s="1"/>
  <c r="M14" i="4" s="1"/>
  <c r="A22" i="5"/>
  <c r="J23" i="5"/>
  <c r="I23" i="5"/>
  <c r="B16" i="4"/>
  <c r="J15" i="4"/>
  <c r="G15" i="4"/>
  <c r="H15" i="4"/>
  <c r="E15" i="4"/>
  <c r="D15" i="4"/>
  <c r="C15" i="4"/>
  <c r="I15" i="4"/>
  <c r="F15" i="4"/>
  <c r="B24" i="5"/>
  <c r="F23" i="5"/>
  <c r="C23" i="5"/>
  <c r="G23" i="5"/>
  <c r="D23" i="5"/>
  <c r="H23" i="5"/>
  <c r="E23" i="5"/>
  <c r="A23" i="5" l="1"/>
  <c r="J24" i="5"/>
  <c r="I24" i="5"/>
  <c r="K15" i="4"/>
  <c r="L15" i="4" s="1"/>
  <c r="M15" i="4" s="1"/>
  <c r="A15" i="4"/>
  <c r="N15" i="4"/>
  <c r="K23" i="5"/>
  <c r="L23" i="5" s="1"/>
  <c r="M23" i="5" s="1"/>
  <c r="H16" i="4"/>
  <c r="B25" i="5"/>
  <c r="C24" i="5"/>
  <c r="H24" i="5"/>
  <c r="D24" i="5"/>
  <c r="B17" i="4"/>
  <c r="J16" i="4"/>
  <c r="G16" i="4"/>
  <c r="F16" i="4"/>
  <c r="I16" i="4"/>
  <c r="G24" i="5"/>
  <c r="F24" i="5"/>
  <c r="E24" i="5"/>
  <c r="D16" i="4"/>
  <c r="E16" i="4"/>
  <c r="C16" i="4"/>
  <c r="N16" i="4" l="1"/>
  <c r="A16" i="4"/>
  <c r="K16" i="4"/>
  <c r="L16" i="4" s="1"/>
  <c r="M16" i="4" s="1"/>
  <c r="A24" i="5"/>
  <c r="J25" i="5"/>
  <c r="I25" i="5"/>
  <c r="K24" i="5"/>
  <c r="L24" i="5" s="1"/>
  <c r="M24" i="5" s="1"/>
  <c r="I17" i="4"/>
  <c r="G17" i="4"/>
  <c r="H17" i="4"/>
  <c r="F17" i="4"/>
  <c r="H25" i="5"/>
  <c r="D25" i="5"/>
  <c r="F25" i="5"/>
  <c r="B18" i="4"/>
  <c r="J17" i="4"/>
  <c r="C17" i="4"/>
  <c r="E17" i="4"/>
  <c r="D17" i="4"/>
  <c r="B26" i="5"/>
  <c r="C25" i="5"/>
  <c r="E25" i="5"/>
  <c r="G25" i="5"/>
  <c r="K25" i="5" l="1"/>
  <c r="L25" i="5" s="1"/>
  <c r="M25" i="5" s="1"/>
  <c r="A25" i="5"/>
  <c r="J26" i="5"/>
  <c r="I26" i="5"/>
  <c r="N17" i="4"/>
  <c r="A17" i="4"/>
  <c r="K17" i="4"/>
  <c r="L17" i="4" s="1"/>
  <c r="M17" i="4" s="1"/>
  <c r="C18" i="4"/>
  <c r="B27" i="5"/>
  <c r="E26" i="5"/>
  <c r="D26" i="5"/>
  <c r="F26" i="5"/>
  <c r="J18" i="4"/>
  <c r="I18" i="4"/>
  <c r="E18" i="4"/>
  <c r="G18" i="4"/>
  <c r="C26" i="5"/>
  <c r="H26" i="5"/>
  <c r="G26" i="5"/>
  <c r="B19" i="4"/>
  <c r="D18" i="4"/>
  <c r="H18" i="4"/>
  <c r="F18" i="4"/>
  <c r="A26" i="5" l="1"/>
  <c r="K18" i="4"/>
  <c r="L18" i="4" s="1"/>
  <c r="M18" i="4" s="1"/>
  <c r="J27" i="5"/>
  <c r="I27" i="5"/>
  <c r="N18" i="4"/>
  <c r="A18" i="4"/>
  <c r="K26" i="5"/>
  <c r="L26" i="5" s="1"/>
  <c r="M26" i="5" s="1"/>
  <c r="B20" i="4"/>
  <c r="I19" i="4"/>
  <c r="G19" i="4"/>
  <c r="D19" i="4"/>
  <c r="C19" i="4"/>
  <c r="D27" i="5"/>
  <c r="G27" i="5"/>
  <c r="H27" i="5"/>
  <c r="F27" i="5"/>
  <c r="C27" i="5"/>
  <c r="E27" i="5"/>
  <c r="F19" i="4"/>
  <c r="J19" i="4"/>
  <c r="E19" i="4"/>
  <c r="H19" i="4"/>
  <c r="A27" i="5" l="1"/>
  <c r="A19" i="4"/>
  <c r="N19" i="4"/>
  <c r="K19" i="4"/>
  <c r="L19" i="4" s="1"/>
  <c r="M19" i="4" s="1"/>
  <c r="K27" i="5"/>
  <c r="L27" i="5" s="1"/>
  <c r="M27" i="5" s="1"/>
  <c r="B21" i="4"/>
  <c r="C20" i="4"/>
  <c r="J20" i="4"/>
  <c r="I20" i="4"/>
  <c r="H20" i="4"/>
  <c r="D20" i="4"/>
  <c r="F20" i="4"/>
  <c r="G20" i="4"/>
  <c r="E20" i="4"/>
  <c r="K20" i="4" l="1"/>
  <c r="L20" i="4" s="1"/>
  <c r="M20" i="4" s="1"/>
  <c r="N20" i="4"/>
  <c r="A20" i="4"/>
  <c r="B22" i="4"/>
  <c r="D21" i="4"/>
  <c r="H21" i="4"/>
  <c r="G21" i="4"/>
  <c r="E21" i="4"/>
  <c r="C21" i="4"/>
  <c r="J21" i="4"/>
  <c r="F21" i="4"/>
  <c r="I21" i="4"/>
  <c r="K21" i="4" l="1"/>
  <c r="L21" i="4" s="1"/>
  <c r="M21" i="4" s="1"/>
  <c r="A21" i="4"/>
  <c r="N21" i="4"/>
  <c r="C22" i="4"/>
  <c r="I22" i="4"/>
  <c r="E22" i="4"/>
  <c r="J22" i="4"/>
  <c r="B23" i="4"/>
  <c r="G22" i="4"/>
  <c r="H22" i="4"/>
  <c r="D22" i="4"/>
  <c r="F22" i="4"/>
  <c r="K22" i="4" l="1"/>
  <c r="L22" i="4" s="1"/>
  <c r="M22" i="4" s="1"/>
  <c r="A22" i="4"/>
  <c r="N22" i="4"/>
  <c r="B24" i="4"/>
  <c r="G23" i="4"/>
  <c r="H23" i="4"/>
  <c r="D23" i="4"/>
  <c r="C23" i="4"/>
  <c r="J23" i="4"/>
  <c r="F23" i="4"/>
  <c r="E23" i="4"/>
  <c r="I23" i="4"/>
  <c r="K23" i="4" l="1"/>
  <c r="L23" i="4" s="1"/>
  <c r="M23" i="4" s="1"/>
  <c r="N23" i="4"/>
  <c r="A23" i="4"/>
  <c r="B25" i="4"/>
  <c r="E24" i="4"/>
  <c r="C24" i="4"/>
  <c r="J24" i="4"/>
  <c r="H24" i="4"/>
  <c r="G24" i="4"/>
  <c r="F24" i="4"/>
  <c r="I24" i="4"/>
  <c r="D24" i="4"/>
  <c r="K24" i="4" l="1"/>
  <c r="L24" i="4" s="1"/>
  <c r="M24" i="4" s="1"/>
  <c r="A24" i="4"/>
  <c r="N24" i="4"/>
  <c r="I25" i="4"/>
  <c r="D25" i="4"/>
  <c r="E25" i="4"/>
  <c r="C25" i="4"/>
  <c r="B26" i="4"/>
  <c r="G25" i="4"/>
  <c r="H25" i="4"/>
  <c r="J25" i="4"/>
  <c r="F25" i="4"/>
  <c r="N25" i="4" l="1"/>
  <c r="A25" i="4"/>
  <c r="K25" i="4"/>
  <c r="L25" i="4" s="1"/>
  <c r="M25" i="4" s="1"/>
  <c r="B27" i="4"/>
  <c r="D26" i="4"/>
  <c r="J26" i="4"/>
  <c r="C26" i="4"/>
  <c r="H26" i="4"/>
  <c r="F26" i="4"/>
  <c r="I26" i="4"/>
  <c r="G26" i="4"/>
  <c r="E26" i="4"/>
  <c r="K26" i="4" l="1"/>
  <c r="L26" i="4" s="1"/>
  <c r="M26" i="4" s="1"/>
  <c r="A26" i="4"/>
  <c r="N26" i="4"/>
  <c r="E27" i="4"/>
  <c r="H27" i="4"/>
  <c r="D27" i="4"/>
  <c r="J27" i="4"/>
  <c r="B28" i="4"/>
  <c r="I27" i="4"/>
  <c r="F27" i="4"/>
  <c r="C27" i="4"/>
  <c r="G27" i="4"/>
  <c r="A27" i="4" l="1"/>
  <c r="N27" i="4"/>
  <c r="K27" i="4"/>
  <c r="L27" i="4" s="1"/>
  <c r="M27" i="4" s="1"/>
  <c r="H28" i="4"/>
  <c r="I28" i="4"/>
  <c r="J28" i="4"/>
  <c r="D28" i="4"/>
  <c r="E28" i="4"/>
  <c r="C28" i="4"/>
  <c r="G28" i="4"/>
  <c r="F28" i="4"/>
  <c r="A28" i="4" l="1"/>
  <c r="N28" i="4"/>
  <c r="K28" i="4"/>
  <c r="L28" i="4" s="1"/>
  <c r="M28" i="4" s="1"/>
</calcChain>
</file>

<file path=xl/sharedStrings.xml><?xml version="1.0" encoding="utf-8"?>
<sst xmlns="http://schemas.openxmlformats.org/spreadsheetml/2006/main" count="1940" uniqueCount="807">
  <si>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</si>
  <si>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</si>
  <si>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</si>
  <si>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</si>
  <si>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</si>
  <si>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</si>
  <si>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</si>
  <si>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</si>
  <si>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</si>
  <si>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</si>
  <si>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</si>
  <si>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</si>
  <si>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</si>
  <si>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</si>
  <si>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</si>
  <si>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</si>
  <si>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</si>
  <si>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</si>
  <si>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</si>
  <si>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</si>
  <si>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</si>
  <si>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</si>
  <si>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</si>
  <si>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</si>
  <si>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</si>
  <si>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</si>
  <si>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</si>
  <si>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</si>
  <si>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</si>
  <si>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</si>
  <si>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</si>
  <si>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</si>
  <si>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</si>
  <si>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</si>
  <si>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</si>
  <si>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</si>
  <si>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</si>
  <si>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</si>
  <si>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</si>
  <si>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</si>
  <si>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</si>
  <si>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</si>
  <si>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</si>
  <si>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</si>
  <si>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</si>
  <si>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</si>
  <si>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</si>
  <si>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</si>
  <si>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</si>
  <si>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</si>
  <si>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</si>
  <si>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</si>
  <si>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</si>
  <si>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</si>
  <si>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</si>
  <si>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</si>
  <si>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</si>
  <si>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</si>
  <si>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</si>
  <si>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</si>
  <si>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</si>
  <si>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</si>
  <si>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</si>
  <si>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</si>
  <si>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</si>
  <si>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</si>
  <si>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</si>
  <si>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</si>
  <si>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</si>
  <si>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</si>
  <si>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</si>
  <si>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</si>
  <si>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</si>
  <si>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</si>
  <si>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</si>
  <si>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</si>
  <si>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</si>
  <si>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</si>
  <si>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</si>
  <si>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</si>
  <si>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</si>
  <si>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</si>
  <si>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</si>
  <si>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</si>
  <si>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</si>
  <si>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</si>
  <si>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</si>
  <si>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</si>
  <si>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</si>
  <si>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</si>
  <si>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</si>
  <si>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</si>
  <si>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</si>
  <si>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</si>
  <si>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</si>
  <si>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</si>
  <si>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</si>
  <si>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</si>
  <si>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</si>
  <si>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</si>
  <si>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</si>
  <si>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</si>
  <si>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</si>
  <si>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</si>
  <si>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</si>
  <si>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</si>
  <si>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</si>
  <si>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</si>
  <si>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</si>
  <si>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</si>
  <si>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</si>
  <si>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</si>
  <si>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</si>
  <si>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</si>
  <si>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</si>
  <si>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</si>
  <si>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</si>
  <si>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</si>
  <si>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</si>
  <si>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</si>
  <si>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</si>
  <si>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</si>
  <si>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</si>
  <si>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</si>
  <si>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</si>
  <si>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</si>
  <si>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</si>
  <si>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</si>
  <si>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</si>
  <si>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</si>
  <si>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</si>
  <si>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</si>
  <si>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</si>
  <si>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</si>
  <si>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</si>
  <si>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</si>
  <si>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</si>
  <si>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</si>
  <si>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</si>
  <si>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</si>
  <si>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</si>
  <si>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</si>
  <si>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</si>
  <si>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</si>
  <si>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</si>
  <si>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</si>
  <si>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</si>
  <si>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</si>
  <si>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</si>
  <si>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</si>
  <si>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</si>
  <si>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</si>
  <si>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</si>
  <si>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</si>
  <si>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</si>
  <si>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</si>
  <si>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</si>
  <si>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</si>
  <si>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</si>
  <si>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</si>
  <si>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</si>
  <si>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</si>
  <si>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</si>
  <si>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</si>
  <si>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</si>
  <si>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</si>
  <si>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</si>
  <si>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</si>
  <si>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</si>
  <si>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</si>
  <si>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</si>
  <si>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</si>
  <si>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</si>
  <si>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</si>
  <si>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</si>
  <si>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</si>
  <si>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</si>
  <si>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</si>
  <si>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</si>
  <si>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</si>
  <si>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</si>
  <si>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</si>
  <si>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</si>
  <si>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</si>
  <si>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</si>
  <si>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</si>
  <si>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</si>
  <si>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</si>
  <si>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</si>
  <si>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</si>
  <si>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</si>
  <si>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</si>
  <si>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</si>
  <si>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</si>
  <si>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</si>
  <si>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</si>
  <si>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</si>
  <si>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</si>
  <si>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</si>
  <si>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</si>
  <si>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</si>
  <si>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</si>
  <si>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</si>
  <si>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</si>
  <si>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</si>
  <si>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</si>
  <si>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</si>
  <si>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</si>
  <si>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</si>
  <si>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</si>
  <si>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</si>
  <si>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</si>
  <si>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</si>
  <si>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</si>
  <si>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</si>
  <si>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</si>
  <si>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</si>
  <si>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</si>
  <si>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</si>
  <si>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</si>
  <si>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</si>
  <si>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</si>
  <si>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</si>
  <si>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</si>
  <si>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</si>
  <si>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</si>
  <si>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</si>
  <si>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</si>
  <si>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</si>
  <si>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</si>
  <si>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</si>
  <si>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</si>
  <si>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</si>
  <si>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</si>
  <si>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</si>
  <si>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</si>
  <si>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</si>
  <si>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</si>
  <si>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</si>
  <si>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</si>
  <si>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</si>
  <si>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</si>
  <si>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</si>
  <si>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</si>
  <si>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</si>
  <si>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</si>
  <si>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</si>
  <si>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</si>
  <si>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</si>
  <si>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</si>
  <si>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</si>
  <si>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</si>
  <si>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</si>
  <si>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</si>
  <si>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</si>
  <si>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</si>
  <si>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</si>
  <si>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</si>
  <si>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</si>
  <si>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</si>
  <si>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</si>
  <si>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</si>
  <si>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</si>
  <si>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</si>
  <si>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</si>
  <si>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</si>
  <si>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</si>
  <si>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</si>
  <si>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</si>
  <si>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</si>
  <si>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</si>
  <si>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</si>
  <si>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</si>
  <si>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</si>
  <si>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</si>
  <si>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</si>
  <si>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</si>
  <si>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</si>
  <si>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</si>
  <si>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</si>
  <si>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</si>
  <si>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</si>
  <si>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</si>
  <si>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</si>
  <si>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</si>
  <si>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</si>
  <si>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</si>
  <si>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</si>
  <si>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</si>
  <si>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</si>
  <si>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</si>
  <si>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</si>
  <si>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</si>
  <si>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</si>
  <si>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</si>
  <si>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</si>
  <si>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</si>
  <si>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</si>
  <si>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</si>
  <si>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</si>
  <si>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</si>
  <si>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</si>
  <si>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</si>
  <si>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</si>
  <si>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</si>
  <si>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</si>
  <si>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</si>
  <si>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</si>
  <si>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</si>
  <si>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</si>
  <si>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</si>
  <si>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</si>
  <si>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</si>
  <si>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</si>
  <si>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</si>
  <si>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</si>
  <si>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</si>
  <si>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</si>
  <si>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</si>
  <si>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</si>
  <si>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</si>
  <si>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</si>
  <si>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</si>
  <si>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</si>
  <si>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</si>
  <si>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</si>
  <si>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</si>
  <si>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</si>
  <si>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</si>
  <si>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</si>
  <si>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</si>
  <si>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</si>
  <si>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</si>
  <si>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</si>
  <si>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</si>
  <si>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</si>
  <si>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</si>
  <si>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</si>
  <si>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</si>
  <si>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</si>
  <si>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</si>
  <si>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</si>
  <si>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</si>
  <si>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</si>
  <si>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</si>
  <si>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</si>
  <si>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</si>
  <si>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</si>
  <si>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</si>
  <si>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</si>
  <si>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</si>
  <si>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</si>
  <si>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</si>
  <si>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</si>
  <si>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</si>
  <si>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</si>
  <si>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</si>
  <si>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</si>
  <si>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</si>
  <si>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</si>
  <si>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</si>
  <si>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</si>
  <si>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</si>
  <si>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</si>
  <si>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</si>
  <si>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</si>
  <si>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</si>
  <si>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</si>
  <si>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</si>
  <si>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</si>
  <si>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</si>
  <si>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</si>
  <si>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</si>
  <si>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</si>
  <si>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</si>
  <si>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</si>
  <si>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</si>
  <si>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</si>
  <si>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</si>
  <si>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</si>
  <si>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</si>
  <si>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</si>
  <si>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</si>
  <si>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</si>
  <si>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</si>
  <si>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</si>
  <si>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</si>
  <si>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</si>
  <si>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</si>
  <si>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</si>
  <si>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</si>
  <si>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</si>
  <si>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</si>
  <si>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</si>
  <si>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</si>
  <si>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</si>
  <si>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</si>
  <si>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</si>
  <si>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</si>
  <si>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</si>
  <si>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</si>
  <si>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</si>
  <si>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</si>
  <si>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</si>
  <si>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</si>
  <si>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</si>
  <si>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</si>
  <si>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</si>
  <si>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</si>
  <si>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</si>
  <si>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</si>
  <si>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</si>
  <si>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</si>
  <si>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</si>
  <si>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</si>
  <si>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</si>
  <si>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</si>
  <si>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</si>
  <si>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</si>
  <si>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</si>
  <si>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</si>
  <si>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</si>
  <si>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</si>
  <si>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</si>
  <si>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</si>
  <si>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</si>
  <si>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</si>
  <si>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</si>
  <si>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</si>
  <si>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</si>
  <si>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</si>
  <si>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</si>
  <si>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</si>
  <si>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</si>
  <si>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</si>
  <si>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</si>
  <si>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</si>
  <si>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</si>
  <si>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</si>
  <si>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</si>
  <si>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</si>
  <si>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</si>
  <si>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</si>
  <si>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</si>
  <si>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</si>
  <si>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</si>
  <si>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</si>
  <si>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</si>
  <si>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</si>
  <si>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</si>
  <si>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</si>
  <si>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</si>
  <si>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</si>
  <si>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</si>
  <si>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</si>
  <si>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</si>
  <si>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</si>
  <si>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</si>
  <si>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</si>
  <si>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</si>
  <si>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</si>
  <si>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</si>
  <si>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</si>
  <si>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</si>
  <si>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</si>
  <si>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</si>
  <si>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</si>
  <si>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</si>
  <si>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</si>
  <si>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</si>
  <si>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</si>
  <si>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</si>
  <si>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</si>
  <si>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</si>
  <si>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</si>
  <si>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</si>
  <si>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</si>
  <si>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</si>
  <si>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</si>
  <si>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</si>
  <si>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</si>
  <si>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</si>
  <si>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</si>
  <si>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</si>
  <si>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</si>
  <si>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</si>
  <si>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</si>
  <si>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</si>
  <si>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</si>
  <si>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</si>
  <si>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</si>
  <si>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</si>
  <si>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</si>
  <si>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</si>
  <si>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</si>
  <si>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</si>
  <si>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</si>
  <si>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</si>
  <si>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</si>
  <si>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</si>
  <si>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</si>
  <si>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</si>
  <si>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</si>
  <si>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</si>
  <si>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</si>
  <si>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</si>
  <si>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</si>
  <si>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</si>
  <si>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</si>
  <si>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</si>
  <si>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</si>
  <si>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</si>
  <si>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</si>
  <si>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</si>
  <si>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</si>
  <si>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</si>
  <si>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</si>
  <si>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</si>
  <si>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</si>
  <si>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</si>
  <si>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</si>
  <si>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</si>
  <si>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</si>
  <si>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</si>
  <si>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</si>
  <si>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</si>
  <si>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</si>
  <si>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</si>
  <si>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</si>
  <si>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</si>
  <si>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</si>
  <si>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</si>
  <si>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</si>
  <si>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</si>
  <si>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</si>
  <si>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</si>
  <si>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</si>
  <si>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</si>
  <si>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</si>
  <si>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</si>
  <si>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</si>
  <si>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</si>
  <si>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</si>
  <si>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</si>
  <si>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</si>
  <si>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</si>
  <si>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</si>
  <si>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</si>
  <si>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</si>
  <si>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</si>
  <si>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</si>
  <si>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</si>
  <si>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</si>
  <si>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</si>
  <si>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</si>
  <si>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</si>
  <si>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</si>
  <si>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</si>
  <si>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</si>
  <si>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</si>
  <si>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</si>
  <si>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</si>
  <si>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</si>
  <si>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</si>
  <si>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</si>
  <si>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</si>
  <si>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</si>
  <si>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</si>
  <si>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</si>
  <si>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</si>
  <si>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</si>
  <si>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</si>
  <si>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</si>
  <si>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</si>
  <si>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</si>
  <si>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</si>
  <si>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MATH SET MS-75 JK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</si>
  <si>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</si>
  <si>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</si>
  <si>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</si>
  <si>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</si>
  <si>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</si>
  <si>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</si>
  <si>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</si>
  <si>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</si>
  <si>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</si>
  <si>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</si>
  <si>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</si>
  <si>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</si>
  <si>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</si>
  <si>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</si>
  <si>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</si>
  <si>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</si>
  <si>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</si>
  <si>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</si>
  <si>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</si>
  <si>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</si>
  <si>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</si>
  <si>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</si>
  <si>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</si>
  <si>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</si>
  <si>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</si>
  <si>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</si>
  <si>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</si>
  <si>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</si>
  <si>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</si>
  <si>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</si>
  <si>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</si>
  <si>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</si>
  <si>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</si>
  <si>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</si>
  <si>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</si>
  <si>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</si>
  <si>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</si>
  <si>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</si>
  <si>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</si>
  <si>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</si>
  <si>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</si>
  <si>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</si>
  <si>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</si>
  <si>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</si>
  <si>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</si>
  <si>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</si>
  <si>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</si>
  <si>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</si>
  <si>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</si>
  <si>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</si>
  <si>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</si>
  <si>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</si>
  <si>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</si>
  <si>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</si>
  <si>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</si>
  <si>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</si>
  <si>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</si>
  <si>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</si>
  <si>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</si>
  <si>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</si>
  <si>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</si>
  <si>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</si>
  <si>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</si>
  <si>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</si>
  <si>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</si>
  <si>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</si>
  <si>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</si>
  <si>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</si>
  <si>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</si>
  <si>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</si>
  <si>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</si>
  <si>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</si>
  <si>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</si>
  <si>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</si>
  <si>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</si>
  <si>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</si>
  <si>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</si>
  <si>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</si>
  <si>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</si>
  <si>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</si>
  <si>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</si>
  <si>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</si>
  <si>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</si>
  <si>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</si>
  <si>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</si>
  <si>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</si>
  <si>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</si>
  <si>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</si>
  <si>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</si>
  <si>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</si>
  <si>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</si>
  <si>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</si>
  <si>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</si>
  <si>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</si>
  <si>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</si>
  <si>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</si>
  <si>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</si>
  <si>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</si>
  <si>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</si>
  <si>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</si>
  <si>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</si>
  <si>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</si>
  <si>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</si>
  <si>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</si>
  <si>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</si>
  <si>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</si>
  <si>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</si>
  <si>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</si>
  <si>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</si>
  <si>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</si>
  <si>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</si>
  <si>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</si>
  <si>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</si>
  <si>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</si>
  <si>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</si>
  <si>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</si>
  <si>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</si>
  <si>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</si>
  <si>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</si>
  <si>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</si>
  <si>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</si>
  <si>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</si>
  <si>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</si>
  <si>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</si>
  <si>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</si>
  <si>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</si>
  <si>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</si>
  <si>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</si>
  <si>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</si>
  <si>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</si>
  <si>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</si>
  <si>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</si>
  <si>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</si>
  <si>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</si>
  <si>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</si>
  <si>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</si>
  <si>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</si>
  <si>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</si>
  <si>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</si>
  <si>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</si>
  <si>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</si>
  <si>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</si>
  <si>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</si>
  <si>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</si>
  <si>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</si>
  <si>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</si>
  <si>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</si>
  <si>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</si>
  <si>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</si>
  <si>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</si>
  <si>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</si>
  <si>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</si>
  <si>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</si>
  <si>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</si>
  <si>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</si>
  <si>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</si>
  <si>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</si>
  <si>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</si>
  <si>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</si>
  <si>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</si>
  <si>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</si>
  <si>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</si>
  <si>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</si>
  <si>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</si>
  <si>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</si>
  <si>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</si>
  <si>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</si>
  <si>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</si>
  <si>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</si>
  <si>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</si>
  <si>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</si>
  <si>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</si>
  <si>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</si>
  <si>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</si>
  <si>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</si>
  <si>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</si>
  <si>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</si>
  <si>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</si>
  <si>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</si>
  <si>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</si>
  <si>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</si>
  <si>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</si>
  <si>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</si>
  <si>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</si>
  <si>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</si>
  <si>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</si>
  <si>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</si>
  <si>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</si>
  <si>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</si>
  <si>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</si>
  <si>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</si>
  <si>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</si>
  <si>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</si>
  <si>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</si>
  <si>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</si>
  <si>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</si>
  <si>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</si>
  <si>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</si>
  <si>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</si>
  <si>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</si>
  <si>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</si>
  <si>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</si>
  <si>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</si>
  <si>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</si>
  <si>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</si>
  <si>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</si>
  <si>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</si>
  <si>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</si>
  <si>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</si>
  <si>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</si>
  <si>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</si>
  <si>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</si>
  <si>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</si>
  <si>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</si>
  <si>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</si>
  <si>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</si>
  <si>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</si>
  <si>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</si>
  <si>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</si>
  <si>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</si>
  <si>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31/11/2022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</si>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</sst>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C559" zoomScale="70" zoomScaleNormal="70" workbookViewId="0">
      <selection activeCell="L559" sqref="L559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2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60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60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6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61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683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682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680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681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679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678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677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676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675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2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2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2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2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2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2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2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796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8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30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26" s="39" t="e">
        <f ca="1">IF(NOTA[[#This Row],[ID_P]]="","",MATCH(NOTA[[#This Row],[ID_P]],[1]!B_MSK[N_ID],0))</f>
        <v>#REF!</v>
      </c>
      <c r="D326" s="39">
        <f ca="1">IF(NOTA[[#This Row],[NAMA BARANG]]="","",INDEX(NOTA[ID],MATCH(,INDIRECT(ADDRESS(ROW(NOTA[ID]),COLUMN(NOTA[ID]))&amp;":"&amp;ADDRESS(ROW(),COLUMN(NOTA[ID]))),-1)))</f>
        <v>77</v>
      </c>
      <c r="E326" s="32">
        <v>44856</v>
      </c>
      <c r="F326" s="31" t="s">
        <v>297</v>
      </c>
      <c r="G326" s="31" t="s">
        <v>87</v>
      </c>
      <c r="H326" s="33" t="s">
        <v>541</v>
      </c>
      <c r="I326" s="31"/>
      <c r="J326" s="34">
        <v>44852</v>
      </c>
      <c r="K326" s="31"/>
      <c r="L326" s="31" t="s">
        <v>542</v>
      </c>
      <c r="M326" s="35">
        <v>2</v>
      </c>
      <c r="N326" s="31">
        <v>20</v>
      </c>
      <c r="O326" s="31" t="s">
        <v>210</v>
      </c>
      <c r="P326" s="30">
        <v>130500</v>
      </c>
      <c r="Q326" s="103"/>
      <c r="R326" s="35" t="s">
        <v>300</v>
      </c>
      <c r="S326" s="37"/>
      <c r="T326" s="37"/>
      <c r="U326" s="36"/>
      <c r="V326" s="87"/>
      <c r="W326" s="36">
        <f>IF(NOTA[[#This Row],[HARGA/ CTN]]="",NOTA[[#This Row],[JUMLAH_H]],NOTA[[#This Row],[HARGA/ CTN]]*NOTA[[#This Row],[C]])</f>
        <v>2610000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2610000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6" s="36">
        <f>IF(OR(NOTA[[#This Row],[QTY]]="",NOTA[[#This Row],[HARGA SATUAN]]="",),"",NOTA[[#This Row],[QTY]]*NOTA[[#This Row],[HARGA SATUAN]])</f>
        <v>2610000</v>
      </c>
      <c r="AF326" s="34">
        <f ca="1">IF(NOTA[ID_H]="","",INDEX(NOTA[TANGGAL],MATCH(,INDIRECT(ADDRESS(ROW(NOTA[TANGGAL]),COLUMN(NOTA[TANGGAL]))&amp;":"&amp;ADDRESS(ROW(),COLUMN(NOTA[TANGGAL]))),-1)))</f>
        <v>44856</v>
      </c>
      <c r="AG326" s="38" t="str">
        <f ca="1">IF(NOTA[[#This Row],[NAMA BARANG]]="","",INDEX(NOTA[SUPPLIER],MATCH(,INDIRECT(ADDRESS(ROW(NOTA[ID]),COLUMN(NOTA[ID]))&amp;":"&amp;ADDRESS(ROW(),COLUMN(NOTA[ID]))),-1)))</f>
        <v>LESTARI STATIONERY</v>
      </c>
      <c r="AH326" s="16">
        <f ca="1">IF(NOTA[[#This Row],[ID]]="","",COUNTIF(NOTA[ID_H],NOTA[[#This Row],[ID_H]]))</f>
        <v>5</v>
      </c>
      <c r="AI326" s="16">
        <f>IF(NOTA[[#This Row],[TGL.NOTA]]="",IF(NOTA[[#This Row],[SUPPLIER_H]]="","",AI325),MONTH(NOTA[[#This Row],[TGL.NOTA]]))</f>
        <v>10</v>
      </c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77</v>
      </c>
      <c r="E327" s="32"/>
      <c r="F327" s="31"/>
      <c r="G327" s="31"/>
      <c r="H327" s="33"/>
      <c r="I327" s="31"/>
      <c r="J327" s="34"/>
      <c r="K327" s="31"/>
      <c r="L327" s="31" t="s">
        <v>543</v>
      </c>
      <c r="M327" s="35">
        <v>2</v>
      </c>
      <c r="N327" s="31">
        <v>20</v>
      </c>
      <c r="O327" s="31" t="s">
        <v>210</v>
      </c>
      <c r="P327" s="30">
        <v>147500</v>
      </c>
      <c r="Q327" s="103"/>
      <c r="R327" s="35" t="s">
        <v>300</v>
      </c>
      <c r="S327" s="37"/>
      <c r="T327" s="37"/>
      <c r="U327" s="36"/>
      <c r="V327" s="87"/>
      <c r="W327" s="36">
        <f>IF(NOTA[[#This Row],[HARGA/ CTN]]="",NOTA[[#This Row],[JUMLAH_H]],NOTA[[#This Row],[HARGA/ CTN]]*NOTA[[#This Row],[C]])</f>
        <v>2950000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2950000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7" s="36">
        <f>IF(OR(NOTA[[#This Row],[QTY]]="",NOTA[[#This Row],[HARGA SATUAN]]="",),"",NOTA[[#This Row],[QTY]]*NOTA[[#This Row],[HARGA SATUAN]])</f>
        <v>2950000</v>
      </c>
      <c r="AF327" s="34">
        <f ca="1">IF(NOTA[ID_H]="","",INDEX(NOTA[TANGGAL],MATCH(,INDIRECT(ADDRESS(ROW(NOTA[TANGGAL]),COLUMN(NOTA[TANGGAL]))&amp;":"&amp;ADDRESS(ROW(),COLUMN(NOTA[TANGGAL]))),-1)))</f>
        <v>44856</v>
      </c>
      <c r="AG327" s="38" t="str">
        <f ca="1">IF(NOTA[[#This Row],[NAMA BARANG]]="","",INDEX(NOTA[SUPPLIER],MATCH(,INDIRECT(ADDRESS(ROW(NOTA[ID]),COLUMN(NOTA[ID]))&amp;":"&amp;ADDRESS(ROW(),COLUMN(NOTA[ID]))),-1)))</f>
        <v>LESTARI STATIONERY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77</v>
      </c>
      <c r="E328" s="32"/>
      <c r="F328" s="31"/>
      <c r="G328" s="31"/>
      <c r="H328" s="33"/>
      <c r="I328" s="31"/>
      <c r="J328" s="34"/>
      <c r="K328" s="31"/>
      <c r="L328" s="31" t="s">
        <v>544</v>
      </c>
      <c r="M328" s="35">
        <v>2</v>
      </c>
      <c r="N328" s="31">
        <v>20</v>
      </c>
      <c r="O328" s="31" t="s">
        <v>210</v>
      </c>
      <c r="P328" s="30">
        <v>173500</v>
      </c>
      <c r="Q328" s="103"/>
      <c r="R328" s="35" t="s">
        <v>300</v>
      </c>
      <c r="S328" s="37"/>
      <c r="T328" s="37"/>
      <c r="U328" s="36"/>
      <c r="V328" s="87"/>
      <c r="W328" s="36">
        <f>IF(NOTA[[#This Row],[HARGA/ CTN]]="",NOTA[[#This Row],[JUMLAH_H]],NOTA[[#This Row],[HARGA/ CTN]]*NOTA[[#This Row],[C]])</f>
        <v>3470000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3470000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8" s="36">
        <f>IF(OR(NOTA[[#This Row],[QTY]]="",NOTA[[#This Row],[HARGA SATUAN]]="",),"",NOTA[[#This Row],[QTY]]*NOTA[[#This Row],[HARGA SATUAN]])</f>
        <v>3470000</v>
      </c>
      <c r="AF328" s="34">
        <f ca="1">IF(NOTA[ID_H]="","",INDEX(NOTA[TANGGAL],MATCH(,INDIRECT(ADDRESS(ROW(NOTA[TANGGAL]),COLUMN(NOTA[TANGGAL]))&amp;":"&amp;ADDRESS(ROW(),COLUMN(NOTA[TANGGAL]))),-1)))</f>
        <v>44856</v>
      </c>
      <c r="AG328" s="38" t="str">
        <f ca="1">IF(NOTA[[#This Row],[NAMA BARANG]]="","",INDEX(NOTA[SUPPLIER],MATCH(,INDIRECT(ADDRESS(ROW(NOTA[ID]),COLUMN(NOTA[ID]))&amp;":"&amp;ADDRESS(ROW(),COLUMN(NOTA[ID]))),-1)))</f>
        <v>LESTARI STATIONERY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77</v>
      </c>
      <c r="E329" s="32"/>
      <c r="F329" s="31"/>
      <c r="G329" s="31"/>
      <c r="H329" s="33"/>
      <c r="I329" s="31"/>
      <c r="J329" s="34"/>
      <c r="K329" s="31"/>
      <c r="L329" s="31" t="s">
        <v>545</v>
      </c>
      <c r="M329" s="35">
        <v>2</v>
      </c>
      <c r="N329" s="31">
        <v>20</v>
      </c>
      <c r="O329" s="31" t="s">
        <v>210</v>
      </c>
      <c r="P329" s="30">
        <v>242000</v>
      </c>
      <c r="Q329" s="103"/>
      <c r="R329" s="35" t="s">
        <v>300</v>
      </c>
      <c r="S329" s="37"/>
      <c r="T329" s="37"/>
      <c r="U329" s="36"/>
      <c r="V329" s="87"/>
      <c r="W329" s="36">
        <f>IF(NOTA[[#This Row],[HARGA/ CTN]]="",NOTA[[#This Row],[JUMLAH_H]],NOTA[[#This Row],[HARGA/ CTN]]*NOTA[[#This Row],[C]])</f>
        <v>4840000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4840000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29" s="36">
        <f>IF(OR(NOTA[[#This Row],[QTY]]="",NOTA[[#This Row],[HARGA SATUAN]]="",),"",NOTA[[#This Row],[QTY]]*NOTA[[#This Row],[HARGA SATUAN]])</f>
        <v>4840000</v>
      </c>
      <c r="AF329" s="34">
        <f ca="1">IF(NOTA[ID_H]="","",INDEX(NOTA[TANGGAL],MATCH(,INDIRECT(ADDRESS(ROW(NOTA[TANGGAL]),COLUMN(NOTA[TANGGAL]))&amp;":"&amp;ADDRESS(ROW(),COLUMN(NOTA[TANGGAL]))),-1)))</f>
        <v>44856</v>
      </c>
      <c r="AG329" s="38" t="str">
        <f ca="1">IF(NOTA[[#This Row],[NAMA BARANG]]="","",INDEX(NOTA[SUPPLIER],MATCH(,INDIRECT(ADDRESS(ROW(NOTA[ID]),COLUMN(NOTA[ID]))&amp;":"&amp;ADDRESS(ROW(),COLUMN(NOTA[ID]))),-1)))</f>
        <v>LESTARI STATIONERY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77</v>
      </c>
      <c r="E330" s="32"/>
      <c r="F330" s="31"/>
      <c r="G330" s="31"/>
      <c r="H330" s="33"/>
      <c r="I330" s="31"/>
      <c r="J330" s="34"/>
      <c r="K330" s="31"/>
      <c r="L330" s="31" t="s">
        <v>546</v>
      </c>
      <c r="M330" s="35">
        <v>2</v>
      </c>
      <c r="N330" s="31">
        <v>20</v>
      </c>
      <c r="O330" s="31" t="s">
        <v>210</v>
      </c>
      <c r="P330" s="30">
        <v>261000</v>
      </c>
      <c r="Q330" s="103"/>
      <c r="R330" s="35" t="s">
        <v>300</v>
      </c>
      <c r="S330" s="37"/>
      <c r="T330" s="37"/>
      <c r="U330" s="36"/>
      <c r="V330" s="87"/>
      <c r="W330" s="36">
        <f>IF(NOTA[[#This Row],[HARGA/ CTN]]="",NOTA[[#This Row],[JUMLAH_H]],NOTA[[#This Row],[HARGA/ CTN]]*NOTA[[#This Row],[C]])</f>
        <v>5220000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5220000</v>
      </c>
      <c r="AB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30" s="36">
        <f>IF(OR(NOTA[[#This Row],[QTY]]="",NOTA[[#This Row],[HARGA SATUAN]]="",),"",NOTA[[#This Row],[QTY]]*NOTA[[#This Row],[HARGA SATUAN]])</f>
        <v>5220000</v>
      </c>
      <c r="AF330" s="34">
        <f ca="1">IF(NOTA[ID_H]="","",INDEX(NOTA[TANGGAL],MATCH(,INDIRECT(ADDRESS(ROW(NOTA[TANGGAL]),COLUMN(NOTA[TANGGAL]))&amp;":"&amp;ADDRESS(ROW(),COLUMN(NOTA[TANGGAL]))),-1)))</f>
        <v>44856</v>
      </c>
      <c r="AG330" s="38" t="str">
        <f ca="1">IF(NOTA[[#This Row],[NAMA BARANG]]="","",INDEX(NOTA[SUPPLIER],MATCH(,INDIRECT(ADDRESS(ROW(NOTA[ID]),COLUMN(NOTA[ID]))&amp;":"&amp;ADDRESS(ROW(),COLUMN(NOTA[ID]))),-1)))</f>
        <v>LESTARI STATIONERY</v>
      </c>
      <c r="AH330" s="16" t="str">
        <f ca="1">IF(NOTA[[#This Row],[ID]]="","",COUNTIF(NOTA[ID_H],NOTA[[#This Row],[ID_H]]))</f>
        <v/>
      </c>
      <c r="AI330" s="16">
        <f ca="1">IF(NOTA[[#This Row],[TGL.NOTA]]="",IF(NOTA[[#This Row],[SUPPLIER_H]]="","",AI329),MONTH(NOTA[[#This Row],[TGL.NOTA]]))</f>
        <v>10</v>
      </c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 t="str">
        <f ca="1">IF(NOTA[[#This Row],[NAMA BARANG]]="","",INDEX(NOTA[ID],MATCH(,INDIRECT(ADDRESS(ROW(NOTA[ID]),COLUMN(NOTA[ID]))&amp;":"&amp;ADDRESS(ROW(),COLUMN(NOTA[ID]))),-1)))</f>
        <v/>
      </c>
      <c r="E331" s="32"/>
      <c r="F331" s="31"/>
      <c r="G331" s="31"/>
      <c r="H331" s="33"/>
      <c r="I331" s="31"/>
      <c r="J331" s="34"/>
      <c r="K331" s="31"/>
      <c r="L331" s="31"/>
      <c r="M331" s="35"/>
      <c r="N331" s="31"/>
      <c r="O331" s="31"/>
      <c r="P331" s="30"/>
      <c r="Q331" s="103"/>
      <c r="R331" s="35"/>
      <c r="S331" s="37"/>
      <c r="T331" s="37"/>
      <c r="U331" s="36"/>
      <c r="V331" s="87"/>
      <c r="W331" s="36" t="str">
        <f>IF(NOTA[[#This Row],[HARGA/ CTN]]="",NOTA[[#This Row],[JUMLAH_H]],NOTA[[#This Row],[HARGA/ CTN]]*NOTA[[#This Row],[C]])</f>
        <v/>
      </c>
      <c r="X331" s="36" t="str">
        <f>IF(NOTA[[#This Row],[JUMLAH]]="","",NOTA[[#This Row],[JUMLAH]]*NOTA[[#This Row],[DISC 1]])</f>
        <v/>
      </c>
      <c r="Y331" s="36" t="str">
        <f>IF(NOTA[[#This Row],[JUMLAH]]="","",(NOTA[[#This Row],[JUMLAH]]-NOTA[[#This Row],[DISC 1-]])*NOTA[[#This Row],[DISC 2]])</f>
        <v/>
      </c>
      <c r="Z331" s="36" t="str">
        <f>IF(NOTA[[#This Row],[JUMLAH]]="","",NOTA[[#This Row],[DISC 1-]]+NOTA[[#This Row],[DISC 2-]])</f>
        <v/>
      </c>
      <c r="AA331" s="36" t="str">
        <f>IF(NOTA[[#This Row],[JUMLAH]]="","",NOTA[[#This Row],[JUMLAH]]-NOTA[[#This Row],[DISC]])</f>
        <v/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36" t="str">
        <f>IF(OR(NOTA[[#This Row],[QTY]]="",NOTA[[#This Row],[HARGA SATUAN]]="",),"",NOTA[[#This Row],[QTY]]*NOTA[[#This Row],[HARGA SATUAN]])</f>
        <v/>
      </c>
      <c r="AF331" s="34" t="str">
        <f ca="1">IF(NOTA[ID_H]="","",INDEX(NOTA[TANGGAL],MATCH(,INDIRECT(ADDRESS(ROW(NOTA[TANGGAL]),COLUMN(NOTA[TANGGAL]))&amp;":"&amp;ADDRESS(ROW(),COLUMN(NOTA[TANGGAL]))),-1)))</f>
        <v/>
      </c>
      <c r="AG331" s="38" t="str">
        <f ca="1">IF(NOTA[[#This Row],[NAMA BARANG]]="","",INDEX(NOTA[SUPPLIER],MATCH(,INDIRECT(ADDRESS(ROW(NOTA[ID]),COLUMN(NOTA[ID]))&amp;":"&amp;ADDRESS(ROW(),COLUMN(NOTA[ID]))),-1)))</f>
        <v/>
      </c>
      <c r="AH331" s="16" t="str">
        <f ca="1">IF(NOTA[[#This Row],[ID]]="","",COUNTIF(NOTA[ID_H],NOTA[[#This Row],[ID_H]]))</f>
        <v/>
      </c>
      <c r="AI331" s="16" t="str">
        <f ca="1">IF(NOTA[[#This Row],[TGL.NOTA]]="",IF(NOTA[[#This Row],[SUPPLIER_H]]="","",AI330),MONTH(NOTA[[#This Row],[TGL.NOTA]]))</f>
        <v/>
      </c>
      <c r="AJ331" s="16"/>
    </row>
    <row r="332" spans="1:36" ht="20.100000000000001" customHeight="1" x14ac:dyDescent="0.25">
      <c r="A332" s="30">
        <f ca="1">IF(INDIRECT(ADDRESS(ROW()-1,COLUMN(NOTA[[#Headers],[ID]])))="ID",1,IF(NOTA[[#This Row],[FAKTUR]]="","",COUNT(INDIRECT(ADDRESS(ROW(NOTA[ID]),COLUMN(NOTA[ID]))&amp;":"&amp;ADDRESS(ROW()-1,COLUMN(NOTA[ID]))))+1))</f>
        <v>78</v>
      </c>
      <c r="B3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32" s="39" t="e">
        <f ca="1">IF(NOTA[[#This Row],[ID_P]]="","",MATCH(NOTA[[#This Row],[ID_P]],[1]!B_MSK[N_ID],0))</f>
        <v>#REF!</v>
      </c>
      <c r="D332" s="39">
        <f ca="1">IF(NOTA[[#This Row],[NAMA BARANG]]="","",INDEX(NOTA[ID],MATCH(,INDIRECT(ADDRESS(ROW(NOTA[ID]),COLUMN(NOTA[ID]))&amp;":"&amp;ADDRESS(ROW(),COLUMN(NOTA[ID]))),-1)))</f>
        <v>78</v>
      </c>
      <c r="E332" s="26"/>
      <c r="F332" s="31" t="s">
        <v>23</v>
      </c>
      <c r="G332" s="31" t="s">
        <v>24</v>
      </c>
      <c r="H332" s="33" t="s">
        <v>577</v>
      </c>
      <c r="I332" s="31"/>
      <c r="J332" s="34">
        <v>44851</v>
      </c>
      <c r="K332" s="31"/>
      <c r="L332" s="31" t="s">
        <v>570</v>
      </c>
      <c r="M332" s="35">
        <v>2</v>
      </c>
      <c r="N332" s="31"/>
      <c r="O332" s="31"/>
      <c r="Q332" s="103">
        <v>462000</v>
      </c>
      <c r="R332" s="35"/>
      <c r="S332" s="37">
        <v>0.17</v>
      </c>
      <c r="T332" s="37"/>
      <c r="U332" s="36"/>
      <c r="V332" s="87"/>
      <c r="W332" s="36">
        <f>IF(NOTA[[#This Row],[HARGA/ CTN]]="",NOTA[[#This Row],[JUMLAH_H]],NOTA[[#This Row],[HARGA/ CTN]]*NOTA[[#This Row],[C]])</f>
        <v>924000</v>
      </c>
      <c r="X332" s="36">
        <f>IF(NOTA[[#This Row],[JUMLAH]]="","",NOTA[[#This Row],[JUMLAH]]*NOTA[[#This Row],[DISC 1]])</f>
        <v>157080</v>
      </c>
      <c r="Y332" s="36">
        <f>IF(NOTA[[#This Row],[JUMLAH]]="","",(NOTA[[#This Row],[JUMLAH]]-NOTA[[#This Row],[DISC 1-]])*NOTA[[#This Row],[DISC 2]])</f>
        <v>0</v>
      </c>
      <c r="Z332" s="36">
        <f>IF(NOTA[[#This Row],[JUMLAH]]="","",NOTA[[#This Row],[DISC 1-]]+NOTA[[#This Row],[DISC 2-]])</f>
        <v>157080</v>
      </c>
      <c r="AA332" s="36">
        <f>IF(NOTA[[#This Row],[JUMLAH]]="","",NOTA[[#This Row],[JUMLAH]]-NOTA[[#This Row],[DISC]])</f>
        <v>766920</v>
      </c>
      <c r="AB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44856</v>
      </c>
      <c r="AG332" s="30" t="str">
        <f ca="1">IF(NOTA[[#This Row],[NAMA BARANG]]="","",INDEX(NOTA[SUPPLIER],MATCH(,INDIRECT(ADDRESS(ROW(NOTA[ID]),COLUMN(NOTA[ID]))&amp;":"&amp;ADDRESS(ROW(),COLUMN(NOTA[ID]))),-1)))</f>
        <v>KENKO SINAR INDONESIA</v>
      </c>
      <c r="AH332" s="16">
        <f ca="1">IF(NOTA[[#This Row],[ID]]="","",COUNTIF(NOTA[ID_H],NOTA[[#This Row],[ID_H]]))</f>
        <v>5</v>
      </c>
      <c r="AI332" s="16">
        <f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>
        <f ca="1">IF(NOTA[[#This Row],[NAMA BARANG]]="","",INDEX(NOTA[ID],MATCH(,INDIRECT(ADDRESS(ROW(NOTA[ID]),COLUMN(NOTA[ID]))&amp;":"&amp;ADDRESS(ROW(),COLUMN(NOTA[ID]))),-1)))</f>
        <v>78</v>
      </c>
      <c r="E333" s="26"/>
      <c r="F333" s="31"/>
      <c r="G333" s="31"/>
      <c r="H333" s="33"/>
      <c r="I333" s="31"/>
      <c r="J333" s="34"/>
      <c r="K333" s="31"/>
      <c r="L333" s="31" t="s">
        <v>571</v>
      </c>
      <c r="M333" s="35">
        <v>1</v>
      </c>
      <c r="N333" s="31"/>
      <c r="O333" s="31"/>
      <c r="Q333" s="103">
        <v>3888000</v>
      </c>
      <c r="R333" s="35"/>
      <c r="S333" s="37">
        <v>0.17</v>
      </c>
      <c r="T333" s="37"/>
      <c r="U333" s="36"/>
      <c r="V333" s="87"/>
      <c r="W333" s="36">
        <f>IF(NOTA[[#This Row],[HARGA/ CTN]]="",NOTA[[#This Row],[JUMLAH_H]],NOTA[[#This Row],[HARGA/ CTN]]*NOTA[[#This Row],[C]])</f>
        <v>3888000</v>
      </c>
      <c r="X333" s="36">
        <f>IF(NOTA[[#This Row],[JUMLAH]]="","",NOTA[[#This Row],[JUMLAH]]*NOTA[[#This Row],[DISC 1]])</f>
        <v>660960</v>
      </c>
      <c r="Y333" s="36">
        <f>IF(NOTA[[#This Row],[JUMLAH]]="","",(NOTA[[#This Row],[JUMLAH]]-NOTA[[#This Row],[DISC 1-]])*NOTA[[#This Row],[DISC 2]])</f>
        <v>0</v>
      </c>
      <c r="Z333" s="36">
        <f>IF(NOTA[[#This Row],[JUMLAH]]="","",NOTA[[#This Row],[DISC 1-]]+NOTA[[#This Row],[DISC 2-]])</f>
        <v>660960</v>
      </c>
      <c r="AA333" s="36">
        <f>IF(NOTA[[#This Row],[JUMLAH]]="","",NOTA[[#This Row],[JUMLAH]]-NOTA[[#This Row],[DISC]])</f>
        <v>3227040</v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33" s="36" t="str">
        <f>IF(OR(NOTA[[#This Row],[QTY]]="",NOTA[[#This Row],[HARGA SATUAN]]="",),"",NOTA[[#This Row],[QTY]]*NOTA[[#This Row],[HARGA SATUAN]])</f>
        <v/>
      </c>
      <c r="AF333" s="34">
        <f ca="1">IF(NOTA[ID_H]="","",INDEX(NOTA[TANGGAL],MATCH(,INDIRECT(ADDRESS(ROW(NOTA[TANGGAL]),COLUMN(NOTA[TANGGAL]))&amp;":"&amp;ADDRESS(ROW(),COLUMN(NOTA[TANGGAL]))),-1)))</f>
        <v>44856</v>
      </c>
      <c r="AG333" s="30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9" t="str">
        <f>IF(NOTA[[#This Row],[ID_P]]="","",MATCH(NOTA[[#This Row],[ID_P]],[1]!B_MSK[N_ID],0))</f>
        <v/>
      </c>
      <c r="D334" s="39">
        <f ca="1">IF(NOTA[[#This Row],[NAMA BARANG]]="","",INDEX(NOTA[ID],MATCH(,INDIRECT(ADDRESS(ROW(NOTA[ID]),COLUMN(NOTA[ID]))&amp;":"&amp;ADDRESS(ROW(),COLUMN(NOTA[ID]))),-1)))</f>
        <v>78</v>
      </c>
      <c r="E334" s="26"/>
      <c r="F334" s="31"/>
      <c r="G334" s="31"/>
      <c r="H334" s="33"/>
      <c r="I334" s="31"/>
      <c r="J334" s="34"/>
      <c r="K334" s="31"/>
      <c r="L334" s="31" t="s">
        <v>570</v>
      </c>
      <c r="M334" s="35">
        <v>2</v>
      </c>
      <c r="N334" s="31"/>
      <c r="O334" s="31"/>
      <c r="Q334" s="103">
        <v>2352000</v>
      </c>
      <c r="R334" s="35"/>
      <c r="S334" s="37">
        <v>0.17</v>
      </c>
      <c r="T334" s="37"/>
      <c r="U334" s="36"/>
      <c r="V334" s="87"/>
      <c r="W334" s="36">
        <f>IF(NOTA[[#This Row],[HARGA/ CTN]]="",NOTA[[#This Row],[JUMLAH_H]],NOTA[[#This Row],[HARGA/ CTN]]*NOTA[[#This Row],[C]])</f>
        <v>4704000</v>
      </c>
      <c r="X334" s="36">
        <f>IF(NOTA[[#This Row],[JUMLAH]]="","",NOTA[[#This Row],[JUMLAH]]*NOTA[[#This Row],[DISC 1]])</f>
        <v>799680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799680</v>
      </c>
      <c r="AA334" s="36">
        <f>IF(NOTA[[#This Row],[JUMLAH]]="","",NOTA[[#This Row],[JUMLAH]]-NOTA[[#This Row],[DISC]])</f>
        <v>3904320</v>
      </c>
      <c r="AB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34" s="36" t="str">
        <f>IF(OR(NOTA[[#This Row],[QTY]]="",NOTA[[#This Row],[HARGA SATUAN]]="",),"",NOTA[[#This Row],[QTY]]*NOTA[[#This Row],[HARGA SATUAN]])</f>
        <v/>
      </c>
      <c r="AF334" s="34">
        <f ca="1">IF(NOTA[ID_H]="","",INDEX(NOTA[TANGGAL],MATCH(,INDIRECT(ADDRESS(ROW(NOTA[TANGGAL]),COLUMN(NOTA[TANGGAL]))&amp;":"&amp;ADDRESS(ROW(),COLUMN(NOTA[TANGGAL]))),-1)))</f>
        <v>44856</v>
      </c>
      <c r="AG334" s="30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>
        <f ca="1">IF(NOTA[[#This Row],[NAMA BARANG]]="","",INDEX(NOTA[ID],MATCH(,INDIRECT(ADDRESS(ROW(NOTA[ID]),COLUMN(NOTA[ID]))&amp;":"&amp;ADDRESS(ROW(),COLUMN(NOTA[ID]))),-1)))</f>
        <v>78</v>
      </c>
      <c r="E335" s="26"/>
      <c r="F335" s="31"/>
      <c r="G335" s="31"/>
      <c r="H335" s="33"/>
      <c r="I335" s="31"/>
      <c r="J335" s="34"/>
      <c r="K335" s="31"/>
      <c r="L335" s="31" t="s">
        <v>517</v>
      </c>
      <c r="M335" s="35">
        <v>2</v>
      </c>
      <c r="N335" s="31"/>
      <c r="O335" s="31"/>
      <c r="Q335" s="103">
        <v>930000</v>
      </c>
      <c r="R335" s="35"/>
      <c r="S335" s="37">
        <v>0.17</v>
      </c>
      <c r="T335" s="37"/>
      <c r="U335" s="36"/>
      <c r="V335" s="87"/>
      <c r="W335" s="36">
        <f>IF(NOTA[[#This Row],[HARGA/ CTN]]="",NOTA[[#This Row],[JUMLAH_H]],NOTA[[#This Row],[HARGA/ CTN]]*NOTA[[#This Row],[C]])</f>
        <v>1860000</v>
      </c>
      <c r="X335" s="36">
        <f>IF(NOTA[[#This Row],[JUMLAH]]="","",NOTA[[#This Row],[JUMLAH]]*NOTA[[#This Row],[DISC 1]])</f>
        <v>316200</v>
      </c>
      <c r="Y335" s="36">
        <f>IF(NOTA[[#This Row],[JUMLAH]]="","",(NOTA[[#This Row],[JUMLAH]]-NOTA[[#This Row],[DISC 1-]])*NOTA[[#This Row],[DISC 2]])</f>
        <v>0</v>
      </c>
      <c r="Z335" s="36">
        <f>IF(NOTA[[#This Row],[JUMLAH]]="","",NOTA[[#This Row],[DISC 1-]]+NOTA[[#This Row],[DISC 2-]])</f>
        <v>316200</v>
      </c>
      <c r="AA335" s="36">
        <f>IF(NOTA[[#This Row],[JUMLAH]]="","",NOTA[[#This Row],[JUMLAH]]-NOTA[[#This Row],[DISC]])</f>
        <v>1543800</v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35" s="36" t="str">
        <f>IF(OR(NOTA[[#This Row],[QTY]]="",NOTA[[#This Row],[HARGA SATUAN]]="",),"",NOTA[[#This Row],[QTY]]*NOTA[[#This Row],[HARGA SATUAN]])</f>
        <v/>
      </c>
      <c r="AF335" s="34">
        <f ca="1">IF(NOTA[ID_H]="","",INDEX(NOTA[TANGGAL],MATCH(,INDIRECT(ADDRESS(ROW(NOTA[TANGGAL]),COLUMN(NOTA[TANGGAL]))&amp;":"&amp;ADDRESS(ROW(),COLUMN(NOTA[TANGGAL]))),-1)))</f>
        <v>44856</v>
      </c>
      <c r="AG335" s="30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9" t="str">
        <f>IF(NOTA[[#This Row],[ID_P]]="","",MATCH(NOTA[[#This Row],[ID_P]],[1]!B_MSK[N_ID],0))</f>
        <v/>
      </c>
      <c r="D336" s="39">
        <f ca="1">IF(NOTA[[#This Row],[NAMA BARANG]]="","",INDEX(NOTA[ID],MATCH(,INDIRECT(ADDRESS(ROW(NOTA[ID]),COLUMN(NOTA[ID]))&amp;":"&amp;ADDRESS(ROW(),COLUMN(NOTA[ID]))),-1)))</f>
        <v>78</v>
      </c>
      <c r="E336" s="26"/>
      <c r="F336" s="31"/>
      <c r="G336" s="31"/>
      <c r="H336" s="33"/>
      <c r="I336" s="31"/>
      <c r="J336" s="34"/>
      <c r="K336" s="31"/>
      <c r="L336" s="31" t="s">
        <v>572</v>
      </c>
      <c r="M336" s="35">
        <v>5</v>
      </c>
      <c r="N336" s="31"/>
      <c r="O336" s="31"/>
      <c r="Q336" s="103">
        <v>1050000</v>
      </c>
      <c r="R336" s="35"/>
      <c r="S336" s="37">
        <v>0.17</v>
      </c>
      <c r="T336" s="37"/>
      <c r="U336" s="36"/>
      <c r="V336" s="87"/>
      <c r="W336" s="36">
        <f>IF(NOTA[[#This Row],[HARGA/ CTN]]="",NOTA[[#This Row],[JUMLAH_H]],NOTA[[#This Row],[HARGA/ CTN]]*NOTA[[#This Row],[C]])</f>
        <v>5250000</v>
      </c>
      <c r="X336" s="36">
        <f>IF(NOTA[[#This Row],[JUMLAH]]="","",NOTA[[#This Row],[JUMLAH]]*NOTA[[#This Row],[DISC 1]])</f>
        <v>892500.00000000012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892500.00000000012</v>
      </c>
      <c r="AA336" s="36">
        <f>IF(NOTA[[#This Row],[JUMLAH]]="","",NOTA[[#This Row],[JUMLAH]]-NOTA[[#This Row],[DISC]])</f>
        <v>4357500</v>
      </c>
      <c r="AB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44856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 t="str">
        <f ca="1">IF(NOTA[[#This Row],[NAMA BARANG]]="","",INDEX(NOTA[ID],MATCH(,INDIRECT(ADDRESS(ROW(NOTA[ID]),COLUMN(NOTA[ID]))&amp;":"&amp;ADDRESS(ROW(),COLUMN(NOTA[ID]))),-1)))</f>
        <v/>
      </c>
      <c r="E337" s="26"/>
      <c r="F337" s="31"/>
      <c r="G337" s="31"/>
      <c r="H337" s="33"/>
      <c r="I337" s="31"/>
      <c r="J337" s="34"/>
      <c r="K337" s="31"/>
      <c r="L337" s="31"/>
      <c r="M337" s="35"/>
      <c r="N337" s="31"/>
      <c r="O337" s="31"/>
      <c r="P337" s="30"/>
      <c r="Q337" s="103"/>
      <c r="R337" s="35"/>
      <c r="S337" s="37"/>
      <c r="T337" s="37"/>
      <c r="U337" s="36"/>
      <c r="V337" s="87"/>
      <c r="W337" s="36" t="str">
        <f>IF(NOTA[[#This Row],[HARGA/ CTN]]="",NOTA[[#This Row],[JUMLAH_H]],NOTA[[#This Row],[HARGA/ CTN]]*NOTA[[#This Row],[C]])</f>
        <v/>
      </c>
      <c r="X337" s="36" t="str">
        <f>IF(NOTA[[#This Row],[JUMLAH]]="","",NOTA[[#This Row],[JUMLAH]]*NOTA[[#This Row],[DISC 1]])</f>
        <v/>
      </c>
      <c r="Y337" s="36" t="str">
        <f>IF(NOTA[[#This Row],[JUMLAH]]="","",(NOTA[[#This Row],[JUMLAH]]-NOTA[[#This Row],[DISC 1-]])*NOTA[[#This Row],[DISC 2]])</f>
        <v/>
      </c>
      <c r="Z337" s="36" t="str">
        <f>IF(NOTA[[#This Row],[JUMLAH]]="","",NOTA[[#This Row],[DISC 1-]]+NOTA[[#This Row],[DISC 2-]])</f>
        <v/>
      </c>
      <c r="AA337" s="36" t="str">
        <f>IF(NOTA[[#This Row],[JUMLAH]]="","",NOTA[[#This Row],[JUMLAH]]-NOTA[[#This Row],[DISC]])</f>
        <v/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36" t="str">
        <f>IF(OR(NOTA[[#This Row],[QTY]]="",NOTA[[#This Row],[HARGA SATUAN]]="",),"",NOTA[[#This Row],[QTY]]*NOTA[[#This Row],[HARGA SATUAN]])</f>
        <v/>
      </c>
      <c r="AF337" s="34" t="str">
        <f ca="1">IF(NOTA[ID_H]="","",INDEX(NOTA[TANGGAL],MATCH(,INDIRECT(ADDRESS(ROW(NOTA[TANGGAL]),COLUMN(NOTA[TANGGAL]))&amp;":"&amp;ADDRESS(ROW(),COLUMN(NOTA[TANGGAL]))),-1)))</f>
        <v/>
      </c>
      <c r="AG337" s="30" t="str">
        <f ca="1">IF(NOTA[[#This Row],[NAMA BARANG]]="","",INDEX(NOTA[SUPPLIER],MATCH(,INDIRECT(ADDRESS(ROW(NOTA[ID]),COLUMN(NOTA[ID]))&amp;":"&amp;ADDRESS(ROW(),COLUMN(NOTA[ID]))),-1)))</f>
        <v/>
      </c>
      <c r="AH337" s="16" t="str">
        <f ca="1">IF(NOTA[[#This Row],[ID]]="","",COUNTIF(NOTA[ID_H],NOTA[[#This Row],[ID_H]]))</f>
        <v/>
      </c>
      <c r="AI337" s="16" t="str">
        <f ca="1">IF(NOTA[[#This Row],[TGL.NOTA]]="",IF(NOTA[[#This Row],[SUPPLIER_H]]="","",AI336),MONTH(NOTA[[#This Row],[TGL.NOTA]]))</f>
        <v/>
      </c>
      <c r="AJ337" s="16"/>
    </row>
    <row r="338" spans="1:36" ht="20.100000000000001" customHeight="1" x14ac:dyDescent="0.25">
      <c r="A338" s="30">
        <f ca="1">IF(INDIRECT(ADDRESS(ROW()-1,COLUMN(NOTA[[#Headers],[ID]])))="ID",1,IF(NOTA[[#This Row],[FAKTUR]]="","",COUNT(INDIRECT(ADDRESS(ROW(NOTA[ID]),COLUMN(NOTA[ID]))&amp;":"&amp;ADDRESS(ROW()-1,COLUMN(NOTA[ID]))))+1))</f>
        <v>79</v>
      </c>
      <c r="B33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38" s="39" t="e">
        <f ca="1">IF(NOTA[[#This Row],[ID_P]]="","",MATCH(NOTA[[#This Row],[ID_P]],[1]!B_MSK[N_ID],0))</f>
        <v>#REF!</v>
      </c>
      <c r="D338" s="39">
        <f ca="1">IF(NOTA[[#This Row],[NAMA BARANG]]="","",INDEX(NOTA[ID],MATCH(,INDIRECT(ADDRESS(ROW(NOTA[ID]),COLUMN(NOTA[ID]))&amp;":"&amp;ADDRESS(ROW(),COLUMN(NOTA[ID]))),-1)))</f>
        <v>79</v>
      </c>
      <c r="E338" s="26"/>
      <c r="F338" s="31" t="s">
        <v>23</v>
      </c>
      <c r="G338" s="31" t="s">
        <v>24</v>
      </c>
      <c r="H338" s="33" t="s">
        <v>578</v>
      </c>
      <c r="I338" s="31"/>
      <c r="J338" s="34">
        <v>44853</v>
      </c>
      <c r="K338" s="31"/>
      <c r="L338" s="31" t="s">
        <v>573</v>
      </c>
      <c r="M338" s="35">
        <v>2</v>
      </c>
      <c r="N338" s="31"/>
      <c r="O338" s="31"/>
      <c r="P338" s="30"/>
      <c r="Q338" s="103">
        <v>810000</v>
      </c>
      <c r="R338" s="35"/>
      <c r="S338" s="37">
        <v>0.17</v>
      </c>
      <c r="T338" s="37"/>
      <c r="U338" s="36"/>
      <c r="V338" s="87"/>
      <c r="W338" s="36">
        <f>IF(NOTA[[#This Row],[HARGA/ CTN]]="",NOTA[[#This Row],[JUMLAH_H]],NOTA[[#This Row],[HARGA/ CTN]]*NOTA[[#This Row],[C]])</f>
        <v>1620000</v>
      </c>
      <c r="X338" s="36">
        <f>IF(NOTA[[#This Row],[JUMLAH]]="","",NOTA[[#This Row],[JUMLAH]]*NOTA[[#This Row],[DISC 1]])</f>
        <v>275400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275400</v>
      </c>
      <c r="AA338" s="36">
        <f>IF(NOTA[[#This Row],[JUMLAH]]="","",NOTA[[#This Row],[JUMLAH]]-NOTA[[#This Row],[DISC]])</f>
        <v>1344600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44856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>
        <f ca="1">IF(NOTA[[#This Row],[ID]]="","",COUNTIF(NOTA[ID_H],NOTA[[#This Row],[ID_H]]))</f>
        <v>11</v>
      </c>
      <c r="AI338" s="16">
        <f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79</v>
      </c>
      <c r="E339" s="26"/>
      <c r="F339" s="31"/>
      <c r="G339" s="31"/>
      <c r="H339" s="33"/>
      <c r="I339" s="31"/>
      <c r="J339" s="34"/>
      <c r="K339" s="31"/>
      <c r="L339" s="31" t="s">
        <v>363</v>
      </c>
      <c r="M339" s="35">
        <v>1</v>
      </c>
      <c r="N339" s="31"/>
      <c r="O339" s="31"/>
      <c r="P339" s="30"/>
      <c r="Q339" s="103">
        <v>1069200</v>
      </c>
      <c r="R339" s="35"/>
      <c r="S339" s="37">
        <v>0.17</v>
      </c>
      <c r="T339" s="37"/>
      <c r="U339" s="36"/>
      <c r="V339" s="87"/>
      <c r="W339" s="36">
        <f>IF(NOTA[[#This Row],[HARGA/ CTN]]="",NOTA[[#This Row],[JUMLAH_H]],NOTA[[#This Row],[HARGA/ CTN]]*NOTA[[#This Row],[C]])</f>
        <v>1069200</v>
      </c>
      <c r="X339" s="36">
        <f>IF(NOTA[[#This Row],[JUMLAH]]="","",NOTA[[#This Row],[JUMLAH]]*NOTA[[#This Row],[DISC 1]])</f>
        <v>181764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181764</v>
      </c>
      <c r="AA339" s="36">
        <f>IF(NOTA[[#This Row],[JUMLAH]]="","",NOTA[[#This Row],[JUMLAH]]-NOTA[[#This Row],[DISC]])</f>
        <v>887436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44856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>
        <f ca="1">IF(NOTA[[#This Row],[TGL.NOTA]]="",IF(NOTA[[#This Row],[SUPPLIER_H]]="","",AI338),MONTH(NOTA[[#This Row],[TGL.NOTA]]))</f>
        <v>10</v>
      </c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79</v>
      </c>
      <c r="E340" s="26"/>
      <c r="F340" s="31"/>
      <c r="G340" s="31"/>
      <c r="H340" s="33"/>
      <c r="I340" s="31"/>
      <c r="J340" s="34"/>
      <c r="K340" s="31"/>
      <c r="L340" s="31" t="s">
        <v>574</v>
      </c>
      <c r="M340" s="35">
        <v>1</v>
      </c>
      <c r="N340" s="31"/>
      <c r="O340" s="31"/>
      <c r="P340" s="30"/>
      <c r="Q340" s="103">
        <v>1164000</v>
      </c>
      <c r="R340" s="35"/>
      <c r="S340" s="37">
        <v>0.17</v>
      </c>
      <c r="T340" s="37"/>
      <c r="U340" s="36"/>
      <c r="V340" s="87"/>
      <c r="W340" s="36">
        <f>IF(NOTA[[#This Row],[HARGA/ CTN]]="",NOTA[[#This Row],[JUMLAH_H]],NOTA[[#This Row],[HARGA/ CTN]]*NOTA[[#This Row],[C]])</f>
        <v>1164000</v>
      </c>
      <c r="X340" s="36">
        <f>IF(NOTA[[#This Row],[JUMLAH]]="","",NOTA[[#This Row],[JUMLAH]]*NOTA[[#This Row],[DISC 1]])</f>
        <v>197880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197880</v>
      </c>
      <c r="AA340" s="36">
        <f>IF(NOTA[[#This Row],[JUMLAH]]="","",NOTA[[#This Row],[JUMLAH]]-NOTA[[#This Row],[DISC]])</f>
        <v>966120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44856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>
        <f ca="1"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79</v>
      </c>
      <c r="E341" s="26"/>
      <c r="F341" s="31"/>
      <c r="G341" s="31"/>
      <c r="H341" s="33"/>
      <c r="I341" s="31"/>
      <c r="J341" s="34"/>
      <c r="K341" s="31"/>
      <c r="L341" s="31" t="s">
        <v>575</v>
      </c>
      <c r="M341" s="35">
        <v>1</v>
      </c>
      <c r="N341" s="31"/>
      <c r="O341" s="31"/>
      <c r="P341" s="30"/>
      <c r="Q341" s="103">
        <v>1020000</v>
      </c>
      <c r="R341" s="35"/>
      <c r="S341" s="37">
        <v>0.17</v>
      </c>
      <c r="T341" s="37"/>
      <c r="U341" s="36"/>
      <c r="V341" s="87"/>
      <c r="W341" s="36">
        <f>IF(NOTA[[#This Row],[HARGA/ CTN]]="",NOTA[[#This Row],[JUMLAH_H]],NOTA[[#This Row],[HARGA/ CTN]]*NOTA[[#This Row],[C]])</f>
        <v>1020000</v>
      </c>
      <c r="X341" s="36">
        <f>IF(NOTA[[#This Row],[JUMLAH]]="","",NOTA[[#This Row],[JUMLAH]]*NOTA[[#This Row],[DISC 1]])</f>
        <v>173400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173400</v>
      </c>
      <c r="AA341" s="36">
        <f>IF(NOTA[[#This Row],[JUMLAH]]="","",NOTA[[#This Row],[JUMLAH]]-NOTA[[#This Row],[DISC]])</f>
        <v>846600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44856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79</v>
      </c>
      <c r="E342" s="26"/>
      <c r="F342" s="31"/>
      <c r="G342" s="31"/>
      <c r="H342" s="33"/>
      <c r="I342" s="31"/>
      <c r="J342" s="34"/>
      <c r="K342" s="31"/>
      <c r="L342" s="31" t="s">
        <v>84</v>
      </c>
      <c r="M342" s="35">
        <v>5</v>
      </c>
      <c r="N342" s="31"/>
      <c r="O342" s="31"/>
      <c r="P342" s="30"/>
      <c r="Q342" s="103">
        <v>5616000</v>
      </c>
      <c r="R342" s="35"/>
      <c r="S342" s="37">
        <v>0.17</v>
      </c>
      <c r="T342" s="37"/>
      <c r="U342" s="36"/>
      <c r="V342" s="87"/>
      <c r="W342" s="36">
        <f>IF(NOTA[[#This Row],[HARGA/ CTN]]="",NOTA[[#This Row],[JUMLAH_H]],NOTA[[#This Row],[HARGA/ CTN]]*NOTA[[#This Row],[C]])</f>
        <v>28080000</v>
      </c>
      <c r="X342" s="36">
        <f>IF(NOTA[[#This Row],[JUMLAH]]="","",NOTA[[#This Row],[JUMLAH]]*NOTA[[#This Row],[DISC 1]])</f>
        <v>4773600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4773600</v>
      </c>
      <c r="AA342" s="36">
        <f>IF(NOTA[[#This Row],[JUMLAH]]="","",NOTA[[#This Row],[JUMLAH]]-NOTA[[#This Row],[DISC]])</f>
        <v>23306400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44856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79</v>
      </c>
      <c r="E343" s="26"/>
      <c r="F343" s="31"/>
      <c r="G343" s="31"/>
      <c r="H343" s="33"/>
      <c r="I343" s="31"/>
      <c r="J343" s="34"/>
      <c r="K343" s="31"/>
      <c r="L343" s="31" t="s">
        <v>157</v>
      </c>
      <c r="M343" s="35">
        <v>1</v>
      </c>
      <c r="N343" s="31"/>
      <c r="O343" s="31"/>
      <c r="P343" s="30"/>
      <c r="Q343" s="103">
        <v>1245000</v>
      </c>
      <c r="R343" s="35"/>
      <c r="S343" s="37">
        <v>0.17</v>
      </c>
      <c r="T343" s="37"/>
      <c r="U343" s="36"/>
      <c r="V343" s="87"/>
      <c r="W343" s="36">
        <f>IF(NOTA[[#This Row],[HARGA/ CTN]]="",NOTA[[#This Row],[JUMLAH_H]],NOTA[[#This Row],[HARGA/ CTN]]*NOTA[[#This Row],[C]])</f>
        <v>1245000</v>
      </c>
      <c r="X343" s="36">
        <f>IF(NOTA[[#This Row],[JUMLAH]]="","",NOTA[[#This Row],[JUMLAH]]*NOTA[[#This Row],[DISC 1]])</f>
        <v>211650.00000000003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211650.00000000003</v>
      </c>
      <c r="AA343" s="36">
        <f>IF(NOTA[[#This Row],[JUMLAH]]="","",NOTA[[#This Row],[JUMLAH]]-NOTA[[#This Row],[DISC]])</f>
        <v>1033350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44856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26"/>
      <c r="F344" s="31"/>
      <c r="G344" s="31"/>
      <c r="H344" s="33"/>
      <c r="I344" s="31"/>
      <c r="J344" s="34"/>
      <c r="K344" s="31"/>
      <c r="L344" s="31" t="s">
        <v>160</v>
      </c>
      <c r="M344" s="35">
        <v>1</v>
      </c>
      <c r="N344" s="31"/>
      <c r="O344" s="31"/>
      <c r="P344" s="30"/>
      <c r="Q344" s="103">
        <v>1122000</v>
      </c>
      <c r="R344" s="35"/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1122000</v>
      </c>
      <c r="X344" s="36">
        <f>IF(NOTA[[#This Row],[JUMLAH]]="","",NOTA[[#This Row],[JUMLAH]]*NOTA[[#This Row],[DISC 1]])</f>
        <v>190740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190740</v>
      </c>
      <c r="AA344" s="36">
        <f>IF(NOTA[[#This Row],[JUMLAH]]="","",NOTA[[#This Row],[JUMLAH]]-NOTA[[#This Row],[DISC]])</f>
        <v>931260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44856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26"/>
      <c r="F345" s="31"/>
      <c r="G345" s="31"/>
      <c r="H345" s="33"/>
      <c r="I345" s="31"/>
      <c r="J345" s="34"/>
      <c r="K345" s="31"/>
      <c r="L345" s="31" t="s">
        <v>576</v>
      </c>
      <c r="M345" s="35">
        <v>1</v>
      </c>
      <c r="N345" s="31"/>
      <c r="O345" s="31"/>
      <c r="P345" s="30"/>
      <c r="Q345" s="103">
        <v>1800000</v>
      </c>
      <c r="R345" s="35"/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1800000</v>
      </c>
      <c r="X345" s="36">
        <f>IF(NOTA[[#This Row],[JUMLAH]]="","",NOTA[[#This Row],[JUMLAH]]*NOTA[[#This Row],[DISC 1]])</f>
        <v>306000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306000</v>
      </c>
      <c r="AA345" s="36">
        <f>IF(NOTA[[#This Row],[JUMLAH]]="","",NOTA[[#This Row],[JUMLAH]]-NOTA[[#This Row],[DISC]])</f>
        <v>1494000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44856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26"/>
      <c r="F346" s="31"/>
      <c r="G346" s="31"/>
      <c r="H346" s="33"/>
      <c r="I346" s="31"/>
      <c r="J346" s="34"/>
      <c r="K346" s="31"/>
      <c r="L346" s="31" t="s">
        <v>524</v>
      </c>
      <c r="M346" s="35">
        <v>2</v>
      </c>
      <c r="N346" s="31"/>
      <c r="O346" s="31"/>
      <c r="P346" s="30"/>
      <c r="Q346" s="103">
        <v>2764800</v>
      </c>
      <c r="R346" s="35"/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5529600</v>
      </c>
      <c r="X346" s="36">
        <f>IF(NOTA[[#This Row],[JUMLAH]]="","",NOTA[[#This Row],[JUMLAH]]*NOTA[[#This Row],[DISC 1]])</f>
        <v>940032.00000000012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940032.00000000012</v>
      </c>
      <c r="AA346" s="36">
        <f>IF(NOTA[[#This Row],[JUMLAH]]="","",NOTA[[#This Row],[JUMLAH]]-NOTA[[#This Row],[DISC]])</f>
        <v>4589568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44856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26"/>
      <c r="F347" s="31"/>
      <c r="G347" s="31"/>
      <c r="H347" s="33"/>
      <c r="I347" s="31"/>
      <c r="J347" s="34"/>
      <c r="K347" s="31"/>
      <c r="L347" s="31" t="s">
        <v>157</v>
      </c>
      <c r="M347" s="35">
        <v>1</v>
      </c>
      <c r="N347" s="31"/>
      <c r="O347" s="31"/>
      <c r="P347" s="30"/>
      <c r="Q347" s="103">
        <v>1245000</v>
      </c>
      <c r="R347" s="35"/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1245000</v>
      </c>
      <c r="X347" s="36">
        <f>IF(NOTA[[#This Row],[JUMLAH]]="","",NOTA[[#This Row],[JUMLAH]]*NOTA[[#This Row],[DISC 1]])</f>
        <v>211650.00000000003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211650.00000000003</v>
      </c>
      <c r="AA347" s="36">
        <f>IF(NOTA[[#This Row],[JUMLAH]]="","",NOTA[[#This Row],[JUMLAH]]-NOTA[[#This Row],[DISC]])</f>
        <v>1033350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44856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79</v>
      </c>
      <c r="E348" s="26"/>
      <c r="F348" s="31"/>
      <c r="G348" s="31"/>
      <c r="H348" s="33"/>
      <c r="I348" s="31"/>
      <c r="J348" s="34"/>
      <c r="K348" s="31"/>
      <c r="L348" s="31" t="s">
        <v>160</v>
      </c>
      <c r="M348" s="35">
        <v>1</v>
      </c>
      <c r="N348" s="31"/>
      <c r="O348" s="31"/>
      <c r="P348" s="30"/>
      <c r="Q348" s="103">
        <v>1122000</v>
      </c>
      <c r="R348" s="35"/>
      <c r="S348" s="37">
        <v>0.17</v>
      </c>
      <c r="T348" s="37"/>
      <c r="U348" s="36"/>
      <c r="V348" s="87"/>
      <c r="W348" s="36">
        <f>IF(NOTA[[#This Row],[HARGA/ CTN]]="",NOTA[[#This Row],[JUMLAH_H]],NOTA[[#This Row],[HARGA/ CTN]]*NOTA[[#This Row],[C]])</f>
        <v>1122000</v>
      </c>
      <c r="X348" s="36">
        <f>IF(NOTA[[#This Row],[JUMLAH]]="","",NOTA[[#This Row],[JUMLAH]]*NOTA[[#This Row],[DISC 1]])</f>
        <v>190740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190740</v>
      </c>
      <c r="AA348" s="36">
        <f>IF(NOTA[[#This Row],[JUMLAH]]="","",NOTA[[#This Row],[JUMLAH]]-NOTA[[#This Row],[DISC]])</f>
        <v>931260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44856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>
        <f ca="1">IF(NOTA[[#This Row],[TGL.NOTA]]="",IF(NOTA[[#This Row],[SUPPLIER_H]]="","",AI347),MONTH(NOTA[[#This Row],[TGL.NOTA]]))</f>
        <v>10</v>
      </c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26"/>
      <c r="F349" s="31"/>
      <c r="G349" s="31"/>
      <c r="H349" s="33"/>
      <c r="I349" s="31"/>
      <c r="J349" s="34"/>
      <c r="K349" s="31"/>
      <c r="L349" s="31"/>
      <c r="M349" s="35"/>
      <c r="N349" s="31"/>
      <c r="O349" s="31"/>
      <c r="P349" s="30"/>
      <c r="Q349" s="103"/>
      <c r="R349" s="35"/>
      <c r="S349" s="37"/>
      <c r="T349" s="37"/>
      <c r="U349" s="36"/>
      <c r="V349" s="87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 t="str">
        <f ca="1">IF(NOTA[[#This Row],[TGL.NOTA]]="",IF(NOTA[[#This Row],[SUPPLIER_H]]="","",AI348),MONTH(NOTA[[#This Row],[TGL.NOTA]]))</f>
        <v/>
      </c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80</v>
      </c>
      <c r="E350" s="26"/>
      <c r="F350" s="31" t="s">
        <v>25</v>
      </c>
      <c r="G350" s="31" t="s">
        <v>24</v>
      </c>
      <c r="H350" s="33" t="s">
        <v>582</v>
      </c>
      <c r="I350" s="31"/>
      <c r="J350" s="34">
        <v>44852</v>
      </c>
      <c r="K350" s="31"/>
      <c r="L350" s="31" t="s">
        <v>475</v>
      </c>
      <c r="M350" s="35">
        <v>2</v>
      </c>
      <c r="N350" s="31">
        <v>60</v>
      </c>
      <c r="O350" s="31" t="s">
        <v>220</v>
      </c>
      <c r="P350" s="30">
        <v>104400</v>
      </c>
      <c r="Q350" s="103"/>
      <c r="R350" s="35"/>
      <c r="S350" s="37">
        <v>0.125</v>
      </c>
      <c r="T350" s="37">
        <v>0.05</v>
      </c>
      <c r="U350" s="36"/>
      <c r="V350" s="87"/>
      <c r="W350" s="36">
        <f>IF(NOTA[[#This Row],[HARGA/ CTN]]="",NOTA[[#This Row],[JUMLAH_H]],NOTA[[#This Row],[HARGA/ CTN]]*NOTA[[#This Row],[C]])</f>
        <v>6264000</v>
      </c>
      <c r="X350" s="36">
        <f>IF(NOTA[[#This Row],[JUMLAH]]="","",NOTA[[#This Row],[JUMLAH]]*NOTA[[#This Row],[DISC 1]])</f>
        <v>783000</v>
      </c>
      <c r="Y350" s="36">
        <f>IF(NOTA[[#This Row],[JUMLAH]]="","",(NOTA[[#This Row],[JUMLAH]]-NOTA[[#This Row],[DISC 1-]])*NOTA[[#This Row],[DISC 2]])</f>
        <v>274050</v>
      </c>
      <c r="Z350" s="36">
        <f>IF(NOTA[[#This Row],[JUMLAH]]="","",NOTA[[#This Row],[DISC 1-]]+NOTA[[#This Row],[DISC 2-]])</f>
        <v>1057050</v>
      </c>
      <c r="AA350" s="36">
        <f>IF(NOTA[[#This Row],[JUMLAH]]="","",NOTA[[#This Row],[JUMLAH]]-NOTA[[#This Row],[DISC]])</f>
        <v>5206950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50" s="36">
        <f>IF(OR(NOTA[[#This Row],[QTY]]="",NOTA[[#This Row],[HARGA SATUAN]]="",),"",NOTA[[#This Row],[QTY]]*NOTA[[#This Row],[HARGA SATUAN]])</f>
        <v>6264000</v>
      </c>
      <c r="AF350" s="34">
        <f ca="1">IF(NOTA[ID_H]="","",INDEX(NOTA[TANGGAL],MATCH(,INDIRECT(ADDRESS(ROW(NOTA[TANGGAL]),COLUMN(NOTA[TANGGAL]))&amp;":"&amp;ADDRESS(ROW(),COLUMN(NOTA[TANGGAL]))),-1)))</f>
        <v>44856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>
        <f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26"/>
      <c r="F351" s="31"/>
      <c r="G351" s="31"/>
      <c r="H351" s="33"/>
      <c r="I351" s="31"/>
      <c r="J351" s="34"/>
      <c r="K351" s="31"/>
      <c r="L351" s="31" t="s">
        <v>589</v>
      </c>
      <c r="M351" s="35">
        <v>1</v>
      </c>
      <c r="N351" s="31">
        <v>60</v>
      </c>
      <c r="O351" s="31" t="s">
        <v>220</v>
      </c>
      <c r="P351" s="30">
        <v>27600</v>
      </c>
      <c r="Q351" s="103"/>
      <c r="R351" s="35"/>
      <c r="S351" s="37">
        <v>0.125</v>
      </c>
      <c r="T351" s="37">
        <v>0.05</v>
      </c>
      <c r="U351" s="36"/>
      <c r="V351" s="87"/>
      <c r="W351" s="36">
        <f>IF(NOTA[[#This Row],[HARGA/ CTN]]="",NOTA[[#This Row],[JUMLAH_H]],NOTA[[#This Row],[HARGA/ CTN]]*NOTA[[#This Row],[C]])</f>
        <v>1656000</v>
      </c>
      <c r="X351" s="36">
        <f>IF(NOTA[[#This Row],[JUMLAH]]="","",NOTA[[#This Row],[JUMLAH]]*NOTA[[#This Row],[DISC 1]])</f>
        <v>207000</v>
      </c>
      <c r="Y351" s="36">
        <f>IF(NOTA[[#This Row],[JUMLAH]]="","",(NOTA[[#This Row],[JUMLAH]]-NOTA[[#This Row],[DISC 1-]])*NOTA[[#This Row],[DISC 2]])</f>
        <v>72450</v>
      </c>
      <c r="Z351" s="36">
        <f>IF(NOTA[[#This Row],[JUMLAH]]="","",NOTA[[#This Row],[DISC 1-]]+NOTA[[#This Row],[DISC 2-]])</f>
        <v>279450</v>
      </c>
      <c r="AA351" s="36">
        <f>IF(NOTA[[#This Row],[JUMLAH]]="","",NOTA[[#This Row],[JUMLAH]]-NOTA[[#This Row],[DISC]])</f>
        <v>1376550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51" s="36">
        <f>IF(OR(NOTA[[#This Row],[QTY]]="",NOTA[[#This Row],[HARGA SATUAN]]="",),"",NOTA[[#This Row],[QTY]]*NOTA[[#This Row],[HARGA SATUAN]])</f>
        <v>1656000</v>
      </c>
      <c r="AF351" s="34">
        <f ca="1">IF(NOTA[ID_H]="","",INDEX(NOTA[TANGGAL],MATCH(,INDIRECT(ADDRESS(ROW(NOTA[TANGGAL]),COLUMN(NOTA[TANGGAL]))&amp;":"&amp;ADDRESS(ROW(),COLUMN(NOTA[TANGGAL]))),-1)))</f>
        <v>44856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26"/>
      <c r="F352" s="31"/>
      <c r="G352" s="31"/>
      <c r="H352" s="33"/>
      <c r="I352" s="31"/>
      <c r="J352" s="34"/>
      <c r="K352" s="31"/>
      <c r="L352" s="31" t="s">
        <v>590</v>
      </c>
      <c r="M352" s="35">
        <v>1</v>
      </c>
      <c r="N352" s="31">
        <v>30</v>
      </c>
      <c r="O352" s="31" t="s">
        <v>220</v>
      </c>
      <c r="P352" s="30">
        <v>48600</v>
      </c>
      <c r="Q352" s="103"/>
      <c r="R352" s="35"/>
      <c r="S352" s="37">
        <v>0.125</v>
      </c>
      <c r="T352" s="37">
        <v>0.05</v>
      </c>
      <c r="U352" s="36"/>
      <c r="V352" s="87"/>
      <c r="W352" s="36">
        <f>IF(NOTA[[#This Row],[HARGA/ CTN]]="",NOTA[[#This Row],[JUMLAH_H]],NOTA[[#This Row],[HARGA/ CTN]]*NOTA[[#This Row],[C]])</f>
        <v>1458000</v>
      </c>
      <c r="X352" s="36">
        <f>IF(NOTA[[#This Row],[JUMLAH]]="","",NOTA[[#This Row],[JUMLAH]]*NOTA[[#This Row],[DISC 1]])</f>
        <v>182250</v>
      </c>
      <c r="Y352" s="36">
        <f>IF(NOTA[[#This Row],[JUMLAH]]="","",(NOTA[[#This Row],[JUMLAH]]-NOTA[[#This Row],[DISC 1-]])*NOTA[[#This Row],[DISC 2]])</f>
        <v>63787.5</v>
      </c>
      <c r="Z352" s="36">
        <f>IF(NOTA[[#This Row],[JUMLAH]]="","",NOTA[[#This Row],[DISC 1-]]+NOTA[[#This Row],[DISC 2-]])</f>
        <v>246037.5</v>
      </c>
      <c r="AA352" s="36">
        <f>IF(NOTA[[#This Row],[JUMLAH]]="","",NOTA[[#This Row],[JUMLAH]]-NOTA[[#This Row],[DISC]])</f>
        <v>1211962.5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52" s="36">
        <f>IF(OR(NOTA[[#This Row],[QTY]]="",NOTA[[#This Row],[HARGA SATUAN]]="",),"",NOTA[[#This Row],[QTY]]*NOTA[[#This Row],[HARGA SATUAN]])</f>
        <v>1458000</v>
      </c>
      <c r="AF352" s="34">
        <f ca="1">IF(NOTA[ID_H]="","",INDEX(NOTA[TANGGAL],MATCH(,INDIRECT(ADDRESS(ROW(NOTA[TANGGAL]),COLUMN(NOTA[TANGGAL]))&amp;":"&amp;ADDRESS(ROW(),COLUMN(NOTA[TANGGAL]))),-1)))</f>
        <v>44856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219</v>
      </c>
      <c r="M353" s="35">
        <v>1</v>
      </c>
      <c r="N353" s="31">
        <v>20</v>
      </c>
      <c r="O353" s="31" t="s">
        <v>220</v>
      </c>
      <c r="P353" s="30">
        <v>67800</v>
      </c>
      <c r="Q353" s="103"/>
      <c r="R353" s="35"/>
      <c r="S353" s="37">
        <v>0.125</v>
      </c>
      <c r="T353" s="37">
        <v>0.05</v>
      </c>
      <c r="U353" s="36"/>
      <c r="V353" s="87"/>
      <c r="W353" s="36">
        <f>IF(NOTA[[#This Row],[HARGA/ CTN]]="",NOTA[[#This Row],[JUMLAH_H]],NOTA[[#This Row],[HARGA/ CTN]]*NOTA[[#This Row],[C]])</f>
        <v>1356000</v>
      </c>
      <c r="X353" s="36">
        <f>IF(NOTA[[#This Row],[JUMLAH]]="","",NOTA[[#This Row],[JUMLAH]]*NOTA[[#This Row],[DISC 1]])</f>
        <v>169500</v>
      </c>
      <c r="Y353" s="36">
        <f>IF(NOTA[[#This Row],[JUMLAH]]="","",(NOTA[[#This Row],[JUMLAH]]-NOTA[[#This Row],[DISC 1-]])*NOTA[[#This Row],[DISC 2]])</f>
        <v>59325</v>
      </c>
      <c r="Z353" s="36">
        <f>IF(NOTA[[#This Row],[JUMLAH]]="","",NOTA[[#This Row],[DISC 1-]]+NOTA[[#This Row],[DISC 2-]])</f>
        <v>228825</v>
      </c>
      <c r="AA353" s="36">
        <f>IF(NOTA[[#This Row],[JUMLAH]]="","",NOTA[[#This Row],[JUMLAH]]-NOTA[[#This Row],[DISC]])</f>
        <v>1127175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53" s="36">
        <f>IF(OR(NOTA[[#This Row],[QTY]]="",NOTA[[#This Row],[HARGA SATUAN]]="",),"",NOTA[[#This Row],[QTY]]*NOTA[[#This Row],[HARGA SATUAN]])</f>
        <v>1356000</v>
      </c>
      <c r="AF353" s="34">
        <f ca="1">IF(NOTA[ID_H]="","",INDEX(NOTA[TANGGAL],MATCH(,INDIRECT(ADDRESS(ROW(NOTA[TANGGAL]),COLUMN(NOTA[TANGGAL]))&amp;":"&amp;ADDRESS(ROW(),COLUMN(NOTA[TANGGAL]))),-1)))</f>
        <v>44856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221</v>
      </c>
      <c r="M354" s="35">
        <v>2</v>
      </c>
      <c r="N354" s="31">
        <v>20</v>
      </c>
      <c r="O354" s="31" t="s">
        <v>220</v>
      </c>
      <c r="P354" s="30">
        <v>115800</v>
      </c>
      <c r="Q354" s="103"/>
      <c r="R354" s="35"/>
      <c r="S354" s="37">
        <v>0.125</v>
      </c>
      <c r="T354" s="37">
        <v>0.05</v>
      </c>
      <c r="U354" s="36"/>
      <c r="V354" s="87"/>
      <c r="W354" s="36">
        <f>IF(NOTA[[#This Row],[HARGA/ CTN]]="",NOTA[[#This Row],[JUMLAH_H]],NOTA[[#This Row],[HARGA/ CTN]]*NOTA[[#This Row],[C]])</f>
        <v>2316000</v>
      </c>
      <c r="X354" s="36">
        <f>IF(NOTA[[#This Row],[JUMLAH]]="","",NOTA[[#This Row],[JUMLAH]]*NOTA[[#This Row],[DISC 1]])</f>
        <v>289500</v>
      </c>
      <c r="Y354" s="36">
        <f>IF(NOTA[[#This Row],[JUMLAH]]="","",(NOTA[[#This Row],[JUMLAH]]-NOTA[[#This Row],[DISC 1-]])*NOTA[[#This Row],[DISC 2]])</f>
        <v>101325</v>
      </c>
      <c r="Z354" s="36">
        <f>IF(NOTA[[#This Row],[JUMLAH]]="","",NOTA[[#This Row],[DISC 1-]]+NOTA[[#This Row],[DISC 2-]])</f>
        <v>390825</v>
      </c>
      <c r="AA354" s="36">
        <f>IF(NOTA[[#This Row],[JUMLAH]]="","",NOTA[[#This Row],[JUMLAH]]-NOTA[[#This Row],[DISC]])</f>
        <v>1925175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54" s="36">
        <f>IF(OR(NOTA[[#This Row],[QTY]]="",NOTA[[#This Row],[HARGA SATUAN]]="",),"",NOTA[[#This Row],[QTY]]*NOTA[[#This Row],[HARGA SATUAN]])</f>
        <v>2316000</v>
      </c>
      <c r="AF354" s="34">
        <f ca="1">IF(NOTA[ID_H]="","",INDEX(NOTA[TANGGAL],MATCH(,INDIRECT(ADDRESS(ROW(NOTA[TANGGAL]),COLUMN(NOTA[TANGGAL]))&amp;":"&amp;ADDRESS(ROW(),COLUMN(NOTA[TANGGAL]))),-1)))</f>
        <v>44856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579</v>
      </c>
      <c r="M355" s="35" t="s">
        <v>587</v>
      </c>
      <c r="N355" s="31">
        <v>120</v>
      </c>
      <c r="O355" s="31" t="s">
        <v>88</v>
      </c>
      <c r="P355" s="30">
        <v>2350</v>
      </c>
      <c r="Q355" s="103"/>
      <c r="R355" s="35"/>
      <c r="S355" s="37">
        <v>0.1</v>
      </c>
      <c r="T355" s="37">
        <v>0.05</v>
      </c>
      <c r="U355" s="36">
        <v>241600</v>
      </c>
      <c r="V355" s="87" t="s">
        <v>580</v>
      </c>
      <c r="W355" s="36">
        <f>IF(NOTA[[#This Row],[HARGA/ CTN]]="",NOTA[[#This Row],[JUMLAH_H]],NOTA[[#This Row],[HARGA/ CTN]]*NOTA[[#This Row],[C]])</f>
        <v>282000</v>
      </c>
      <c r="X355" s="36">
        <f>IF(NOTA[[#This Row],[JUMLAH]]="","",NOTA[[#This Row],[JUMLAH]]*NOTA[[#This Row],[DISC 1]])</f>
        <v>28200</v>
      </c>
      <c r="Y355" s="36">
        <f>IF(NOTA[[#This Row],[JUMLAH]]="","",(NOTA[[#This Row],[JUMLAH]]-NOTA[[#This Row],[DISC 1-]])*NOTA[[#This Row],[DISC 2]])</f>
        <v>12690</v>
      </c>
      <c r="Z355" s="36">
        <f>IF(NOTA[[#This Row],[JUMLAH]]="","",NOTA[[#This Row],[DISC 1-]]+NOTA[[#This Row],[DISC 2-]])</f>
        <v>40890</v>
      </c>
      <c r="AA355" s="36">
        <f>IF(NOTA[[#This Row],[JUMLAH]]="","",NOTA[[#This Row],[JUMLAH]]-NOTA[[#This Row],[DISC]])</f>
        <v>241110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55" s="36">
        <f>IF(OR(NOTA[[#This Row],[QTY]]="",NOTA[[#This Row],[HARGA SATUAN]]="",),"",NOTA[[#This Row],[QTY]]*NOTA[[#This Row],[HARGA SATUAN]])</f>
        <v>282000</v>
      </c>
      <c r="AF355" s="34">
        <f ca="1">IF(NOTA[ID_H]="","",INDEX(NOTA[TANGGAL],MATCH(,INDIRECT(ADDRESS(ROW(NOTA[TANGGAL]),COLUMN(NOTA[TANGGAL]))&amp;":"&amp;ADDRESS(ROW(),COLUMN(NOTA[TANGGAL]))),-1)))</f>
        <v>44856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32"/>
      <c r="F356" s="31"/>
      <c r="G356" s="31"/>
      <c r="H356" s="33"/>
      <c r="I356" s="31"/>
      <c r="J356" s="34"/>
      <c r="K356" s="31"/>
      <c r="L356" s="31"/>
      <c r="M356" s="35"/>
      <c r="N356" s="31"/>
      <c r="O356" s="31"/>
      <c r="P356" s="30"/>
      <c r="Q356" s="103"/>
      <c r="R356" s="35"/>
      <c r="S356" s="37"/>
      <c r="T356" s="37"/>
      <c r="U356" s="36"/>
      <c r="V356" s="87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 t="str">
        <f ca="1">IF(NOTA[[#This Row],[TGL.NOTA]]="",IF(NOTA[[#This Row],[SUPPLIER_H]]="","",AI355),MONTH(NOTA[[#This Row],[TGL.NOTA]]))</f>
        <v/>
      </c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81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81</v>
      </c>
      <c r="E357" s="32"/>
      <c r="F357" s="31" t="s">
        <v>25</v>
      </c>
      <c r="G357" s="31" t="s">
        <v>24</v>
      </c>
      <c r="H357" s="33" t="s">
        <v>583</v>
      </c>
      <c r="I357" s="31"/>
      <c r="J357" s="34">
        <v>44853</v>
      </c>
      <c r="K357" s="31"/>
      <c r="L357" s="31" t="s">
        <v>591</v>
      </c>
      <c r="M357" s="35">
        <v>1</v>
      </c>
      <c r="N357" s="31">
        <v>24</v>
      </c>
      <c r="O357" s="31" t="s">
        <v>88</v>
      </c>
      <c r="P357" s="30">
        <v>18800</v>
      </c>
      <c r="Q357" s="103"/>
      <c r="R357" s="35"/>
      <c r="S357" s="37">
        <v>0.125</v>
      </c>
      <c r="T357" s="37">
        <v>0.05</v>
      </c>
      <c r="U357" s="36"/>
      <c r="V357" s="87"/>
      <c r="W357" s="36">
        <f>IF(NOTA[[#This Row],[HARGA/ CTN]]="",NOTA[[#This Row],[JUMLAH_H]],NOTA[[#This Row],[HARGA/ CTN]]*NOTA[[#This Row],[C]])</f>
        <v>451200</v>
      </c>
      <c r="X357" s="36">
        <f>IF(NOTA[[#This Row],[JUMLAH]]="","",NOTA[[#This Row],[JUMLAH]]*NOTA[[#This Row],[DISC 1]])</f>
        <v>56400</v>
      </c>
      <c r="Y357" s="36">
        <f>IF(NOTA[[#This Row],[JUMLAH]]="","",(NOTA[[#This Row],[JUMLAH]]-NOTA[[#This Row],[DISC 1-]])*NOTA[[#This Row],[DISC 2]])</f>
        <v>19740</v>
      </c>
      <c r="Z357" s="36">
        <f>IF(NOTA[[#This Row],[JUMLAH]]="","",NOTA[[#This Row],[DISC 1-]]+NOTA[[#This Row],[DISC 2-]])</f>
        <v>76140</v>
      </c>
      <c r="AA357" s="36">
        <f>IF(NOTA[[#This Row],[JUMLAH]]="","",NOTA[[#This Row],[JUMLAH]]-NOTA[[#This Row],[DISC]])</f>
        <v>375060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57" s="36">
        <f>IF(OR(NOTA[[#This Row],[QTY]]="",NOTA[[#This Row],[HARGA SATUAN]]="",),"",NOTA[[#This Row],[QTY]]*NOTA[[#This Row],[HARGA SATUAN]])</f>
        <v>451200</v>
      </c>
      <c r="AF357" s="34">
        <f ca="1">IF(NOTA[ID_H]="","",INDEX(NOTA[TANGGAL],MATCH(,INDIRECT(ADDRESS(ROW(NOTA[TANGGAL]),COLUMN(NOTA[TANGGAL]))&amp;":"&amp;ADDRESS(ROW(),COLUMN(NOTA[TANGGAL]))),-1)))</f>
        <v>44856</v>
      </c>
      <c r="AG357" s="30" t="str">
        <f ca="1">IF(NOTA[[#This Row],[NAMA BARANG]]="","",INDEX(NOTA[SUPPLIER],MATCH(,INDIRECT(ADDRESS(ROW(NOTA[ID]),COLUMN(NOTA[ID]))&amp;":"&amp;ADDRESS(ROW(),COLUMN(NOTA[ID]))),-1)))</f>
        <v>ATALI MAKMUR</v>
      </c>
      <c r="AH357" s="16">
        <f ca="1">IF(NOTA[[#This Row],[ID]]="","",COUNTIF(NOTA[ID_H],NOTA[[#This Row],[ID_H]]))</f>
        <v>11</v>
      </c>
      <c r="AI357" s="16">
        <f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81</v>
      </c>
      <c r="E358" s="32"/>
      <c r="F358" s="31"/>
      <c r="G358" s="31"/>
      <c r="H358" s="33"/>
      <c r="I358" s="31"/>
      <c r="J358" s="34"/>
      <c r="K358" s="31"/>
      <c r="L358" s="31" t="s">
        <v>592</v>
      </c>
      <c r="M358" s="35">
        <v>1</v>
      </c>
      <c r="N358" s="31">
        <v>768</v>
      </c>
      <c r="O358" s="31" t="s">
        <v>88</v>
      </c>
      <c r="P358" s="30">
        <v>2100</v>
      </c>
      <c r="Q358" s="103"/>
      <c r="R358" s="35"/>
      <c r="S358" s="37">
        <v>0.125</v>
      </c>
      <c r="T358" s="37">
        <v>0.05</v>
      </c>
      <c r="U358" s="36"/>
      <c r="V358" s="87"/>
      <c r="W358" s="36">
        <f>IF(NOTA[[#This Row],[HARGA/ CTN]]="",NOTA[[#This Row],[JUMLAH_H]],NOTA[[#This Row],[HARGA/ CTN]]*NOTA[[#This Row],[C]])</f>
        <v>1612800</v>
      </c>
      <c r="X358" s="36">
        <f>IF(NOTA[[#This Row],[JUMLAH]]="","",NOTA[[#This Row],[JUMLAH]]*NOTA[[#This Row],[DISC 1]])</f>
        <v>201600</v>
      </c>
      <c r="Y358" s="36">
        <f>IF(NOTA[[#This Row],[JUMLAH]]="","",(NOTA[[#This Row],[JUMLAH]]-NOTA[[#This Row],[DISC 1-]])*NOTA[[#This Row],[DISC 2]])</f>
        <v>70560</v>
      </c>
      <c r="Z358" s="36">
        <f>IF(NOTA[[#This Row],[JUMLAH]]="","",NOTA[[#This Row],[DISC 1-]]+NOTA[[#This Row],[DISC 2-]])</f>
        <v>272160</v>
      </c>
      <c r="AA358" s="36">
        <f>IF(NOTA[[#This Row],[JUMLAH]]="","",NOTA[[#This Row],[JUMLAH]]-NOTA[[#This Row],[DISC]])</f>
        <v>1340640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58" s="36">
        <f>IF(OR(NOTA[[#This Row],[QTY]]="",NOTA[[#This Row],[HARGA SATUAN]]="",),"",NOTA[[#This Row],[QTY]]*NOTA[[#This Row],[HARGA SATUAN]])</f>
        <v>1612800</v>
      </c>
      <c r="AF358" s="34">
        <f ca="1">IF(NOTA[ID_H]="","",INDEX(NOTA[TANGGAL],MATCH(,INDIRECT(ADDRESS(ROW(NOTA[TANGGAL]),COLUMN(NOTA[TANGGAL]))&amp;":"&amp;ADDRESS(ROW(),COLUMN(NOTA[TANGGAL]))),-1)))</f>
        <v>44856</v>
      </c>
      <c r="AG358" s="30" t="str">
        <f ca="1">IF(NOTA[[#This Row],[NAMA BARANG]]="","",INDEX(NOTA[SUPPLIER],MATCH(,INDIRECT(ADDRESS(ROW(NOTA[ID]),COLUMN(NOTA[ID]))&amp;":"&amp;ADDRESS(ROW(),COLUMN(NOTA[ID]))),-1)))</f>
        <v>ATALI MAKMUR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81</v>
      </c>
      <c r="E359" s="32"/>
      <c r="F359" s="31"/>
      <c r="G359" s="31"/>
      <c r="H359" s="33"/>
      <c r="I359" s="31"/>
      <c r="J359" s="34"/>
      <c r="K359" s="31"/>
      <c r="L359" s="31" t="s">
        <v>593</v>
      </c>
      <c r="M359" s="35">
        <v>1</v>
      </c>
      <c r="N359" s="31">
        <v>576</v>
      </c>
      <c r="O359" s="31" t="s">
        <v>88</v>
      </c>
      <c r="P359" s="30">
        <v>1550</v>
      </c>
      <c r="Q359" s="103"/>
      <c r="R359" s="35"/>
      <c r="S359" s="37">
        <v>0.125</v>
      </c>
      <c r="T359" s="37">
        <v>0.05</v>
      </c>
      <c r="U359" s="36"/>
      <c r="V359" s="87"/>
      <c r="W359" s="36">
        <f>IF(NOTA[[#This Row],[HARGA/ CTN]]="",NOTA[[#This Row],[JUMLAH_H]],NOTA[[#This Row],[HARGA/ CTN]]*NOTA[[#This Row],[C]])</f>
        <v>892800</v>
      </c>
      <c r="X359" s="36">
        <f>IF(NOTA[[#This Row],[JUMLAH]]="","",NOTA[[#This Row],[JUMLAH]]*NOTA[[#This Row],[DISC 1]])</f>
        <v>111600</v>
      </c>
      <c r="Y359" s="36">
        <f>IF(NOTA[[#This Row],[JUMLAH]]="","",(NOTA[[#This Row],[JUMLAH]]-NOTA[[#This Row],[DISC 1-]])*NOTA[[#This Row],[DISC 2]])</f>
        <v>39060</v>
      </c>
      <c r="Z359" s="36">
        <f>IF(NOTA[[#This Row],[JUMLAH]]="","",NOTA[[#This Row],[DISC 1-]]+NOTA[[#This Row],[DISC 2-]])</f>
        <v>150660</v>
      </c>
      <c r="AA359" s="36">
        <f>IF(NOTA[[#This Row],[JUMLAH]]="","",NOTA[[#This Row],[JUMLAH]]-NOTA[[#This Row],[DISC]])</f>
        <v>742140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59" s="36">
        <f>IF(OR(NOTA[[#This Row],[QTY]]="",NOTA[[#This Row],[HARGA SATUAN]]="",),"",NOTA[[#This Row],[QTY]]*NOTA[[#This Row],[HARGA SATUAN]])</f>
        <v>892800</v>
      </c>
      <c r="AF359" s="34">
        <f ca="1">IF(NOTA[ID_H]="","",INDEX(NOTA[TANGGAL],MATCH(,INDIRECT(ADDRESS(ROW(NOTA[TANGGAL]),COLUMN(NOTA[TANGGAL]))&amp;":"&amp;ADDRESS(ROW(),COLUMN(NOTA[TANGGAL]))),-1)))</f>
        <v>44856</v>
      </c>
      <c r="AG359" s="30" t="str">
        <f ca="1">IF(NOTA[[#This Row],[NAMA BARANG]]="","",INDEX(NOTA[SUPPLIER],MATCH(,INDIRECT(ADDRESS(ROW(NOTA[ID]),COLUMN(NOTA[ID]))&amp;":"&amp;ADDRESS(ROW(),COLUMN(NOTA[ID]))),-1)))</f>
        <v>ATALI MAKMUR</v>
      </c>
      <c r="AH359" s="16" t="str">
        <f ca="1">IF(NOTA[[#This Row],[ID]]="","",COUNTIF(NOTA[ID_H],NOTA[[#This Row],[ID_H]]))</f>
        <v/>
      </c>
      <c r="AI359" s="16">
        <f ca="1">IF(NOTA[[#This Row],[TGL.NOTA]]="",IF(NOTA[[#This Row],[SUPPLIER_H]]="","",AI358),MONTH(NOTA[[#This Row],[TGL.NOTA]]))</f>
        <v>10</v>
      </c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81</v>
      </c>
      <c r="E360" s="32"/>
      <c r="F360" s="31"/>
      <c r="G360" s="31"/>
      <c r="H360" s="33"/>
      <c r="I360" s="31"/>
      <c r="J360" s="34"/>
      <c r="K360" s="31"/>
      <c r="L360" s="31" t="s">
        <v>594</v>
      </c>
      <c r="M360" s="35">
        <v>2</v>
      </c>
      <c r="N360" s="31">
        <v>100</v>
      </c>
      <c r="O360" s="31" t="s">
        <v>287</v>
      </c>
      <c r="P360" s="30">
        <v>34100</v>
      </c>
      <c r="Q360" s="103"/>
      <c r="R360" s="35"/>
      <c r="S360" s="37">
        <v>0.125</v>
      </c>
      <c r="T360" s="37">
        <v>0.05</v>
      </c>
      <c r="U360" s="36"/>
      <c r="V360" s="87"/>
      <c r="W360" s="36">
        <f>IF(NOTA[[#This Row],[HARGA/ CTN]]="",NOTA[[#This Row],[JUMLAH_H]],NOTA[[#This Row],[HARGA/ CTN]]*NOTA[[#This Row],[C]])</f>
        <v>3410000</v>
      </c>
      <c r="X360" s="36">
        <f>IF(NOTA[[#This Row],[JUMLAH]]="","",NOTA[[#This Row],[JUMLAH]]*NOTA[[#This Row],[DISC 1]])</f>
        <v>426250</v>
      </c>
      <c r="Y360" s="36">
        <f>IF(NOTA[[#This Row],[JUMLAH]]="","",(NOTA[[#This Row],[JUMLAH]]-NOTA[[#This Row],[DISC 1-]])*NOTA[[#This Row],[DISC 2]])</f>
        <v>149187.5</v>
      </c>
      <c r="Z360" s="36">
        <f>IF(NOTA[[#This Row],[JUMLAH]]="","",NOTA[[#This Row],[DISC 1-]]+NOTA[[#This Row],[DISC 2-]])</f>
        <v>575437.5</v>
      </c>
      <c r="AA360" s="36">
        <f>IF(NOTA[[#This Row],[JUMLAH]]="","",NOTA[[#This Row],[JUMLAH]]-NOTA[[#This Row],[DISC]])</f>
        <v>2834562.5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60" s="36">
        <f>IF(OR(NOTA[[#This Row],[QTY]]="",NOTA[[#This Row],[HARGA SATUAN]]="",),"",NOTA[[#This Row],[QTY]]*NOTA[[#This Row],[HARGA SATUAN]])</f>
        <v>3410000</v>
      </c>
      <c r="AF360" s="34">
        <f ca="1">IF(NOTA[ID_H]="","",INDEX(NOTA[TANGGAL],MATCH(,INDIRECT(ADDRESS(ROW(NOTA[TANGGAL]),COLUMN(NOTA[TANGGAL]))&amp;":"&amp;ADDRESS(ROW(),COLUMN(NOTA[TANGGAL]))),-1)))</f>
        <v>44856</v>
      </c>
      <c r="AG360" s="30" t="str">
        <f ca="1">IF(NOTA[[#This Row],[NAMA BARANG]]="","",INDEX(NOTA[SUPPLIER],MATCH(,INDIRECT(ADDRESS(ROW(NOTA[ID]),COLUMN(NOTA[ID]))&amp;":"&amp;ADDRESS(ROW(),COLUMN(NOTA[ID]))),-1)))</f>
        <v>ATALI MAKMUR</v>
      </c>
      <c r="AH360" s="16" t="str">
        <f ca="1">IF(NOTA[[#This Row],[ID]]="","",COUNTIF(NOTA[ID_H],NOTA[[#This Row],[ID_H]]))</f>
        <v/>
      </c>
      <c r="AI360" s="16">
        <f ca="1"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81</v>
      </c>
      <c r="E361" s="32"/>
      <c r="F361" s="31"/>
      <c r="G361" s="31"/>
      <c r="H361" s="33"/>
      <c r="I361" s="31"/>
      <c r="J361" s="34"/>
      <c r="K361" s="31"/>
      <c r="L361" s="31" t="s">
        <v>595</v>
      </c>
      <c r="M361" s="35">
        <v>2</v>
      </c>
      <c r="N361" s="31">
        <v>72</v>
      </c>
      <c r="O361" s="31" t="s">
        <v>210</v>
      </c>
      <c r="P361" s="30">
        <v>34200</v>
      </c>
      <c r="Q361" s="103"/>
      <c r="R361" s="35"/>
      <c r="S361" s="37">
        <v>0.125</v>
      </c>
      <c r="T361" s="37">
        <v>0.05</v>
      </c>
      <c r="U361" s="36"/>
      <c r="V361" s="87"/>
      <c r="W361" s="36">
        <f>IF(NOTA[[#This Row],[HARGA/ CTN]]="",NOTA[[#This Row],[JUMLAH_H]],NOTA[[#This Row],[HARGA/ CTN]]*NOTA[[#This Row],[C]])</f>
        <v>2462400</v>
      </c>
      <c r="X361" s="36">
        <f>IF(NOTA[[#This Row],[JUMLAH]]="","",NOTA[[#This Row],[JUMLAH]]*NOTA[[#This Row],[DISC 1]])</f>
        <v>307800</v>
      </c>
      <c r="Y361" s="36">
        <f>IF(NOTA[[#This Row],[JUMLAH]]="","",(NOTA[[#This Row],[JUMLAH]]-NOTA[[#This Row],[DISC 1-]])*NOTA[[#This Row],[DISC 2]])</f>
        <v>107730</v>
      </c>
      <c r="Z361" s="36">
        <f>IF(NOTA[[#This Row],[JUMLAH]]="","",NOTA[[#This Row],[DISC 1-]]+NOTA[[#This Row],[DISC 2-]])</f>
        <v>415530</v>
      </c>
      <c r="AA361" s="36">
        <f>IF(NOTA[[#This Row],[JUMLAH]]="","",NOTA[[#This Row],[JUMLAH]]-NOTA[[#This Row],[DISC]])</f>
        <v>2046870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361" s="36">
        <f>IF(OR(NOTA[[#This Row],[QTY]]="",NOTA[[#This Row],[HARGA SATUAN]]="",),"",NOTA[[#This Row],[QTY]]*NOTA[[#This Row],[HARGA SATUAN]])</f>
        <v>2462400</v>
      </c>
      <c r="AF361" s="34">
        <f ca="1">IF(NOTA[ID_H]="","",INDEX(NOTA[TANGGAL],MATCH(,INDIRECT(ADDRESS(ROW(NOTA[TANGGAL]),COLUMN(NOTA[TANGGAL]))&amp;":"&amp;ADDRESS(ROW(),COLUMN(NOTA[TANGGAL]))),-1)))</f>
        <v>44856</v>
      </c>
      <c r="AG361" s="30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81</v>
      </c>
      <c r="E362" s="32"/>
      <c r="F362" s="31"/>
      <c r="G362" s="31"/>
      <c r="H362" s="33"/>
      <c r="I362" s="31"/>
      <c r="J362" s="34"/>
      <c r="K362" s="31"/>
      <c r="L362" s="31" t="s">
        <v>596</v>
      </c>
      <c r="M362" s="35">
        <v>4</v>
      </c>
      <c r="N362" s="31">
        <v>3456</v>
      </c>
      <c r="O362" s="31" t="s">
        <v>88</v>
      </c>
      <c r="P362" s="30">
        <v>2450</v>
      </c>
      <c r="Q362" s="103"/>
      <c r="R362" s="35"/>
      <c r="S362" s="37">
        <v>0.125</v>
      </c>
      <c r="T362" s="37">
        <v>0.05</v>
      </c>
      <c r="U362" s="36"/>
      <c r="V362" s="87"/>
      <c r="W362" s="36">
        <f>IF(NOTA[[#This Row],[HARGA/ CTN]]="",NOTA[[#This Row],[JUMLAH_H]],NOTA[[#This Row],[HARGA/ CTN]]*NOTA[[#This Row],[C]])</f>
        <v>8467200</v>
      </c>
      <c r="X362" s="36">
        <f>IF(NOTA[[#This Row],[JUMLAH]]="","",NOTA[[#This Row],[JUMLAH]]*NOTA[[#This Row],[DISC 1]])</f>
        <v>1058400</v>
      </c>
      <c r="Y362" s="36">
        <f>IF(NOTA[[#This Row],[JUMLAH]]="","",(NOTA[[#This Row],[JUMLAH]]-NOTA[[#This Row],[DISC 1-]])*NOTA[[#This Row],[DISC 2]])</f>
        <v>370440</v>
      </c>
      <c r="Z362" s="36">
        <f>IF(NOTA[[#This Row],[JUMLAH]]="","",NOTA[[#This Row],[DISC 1-]]+NOTA[[#This Row],[DISC 2-]])</f>
        <v>1428840</v>
      </c>
      <c r="AA362" s="36">
        <f>IF(NOTA[[#This Row],[JUMLAH]]="","",NOTA[[#This Row],[JUMLAH]]-NOTA[[#This Row],[DISC]])</f>
        <v>7038360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2" s="36">
        <f>IF(OR(NOTA[[#This Row],[QTY]]="",NOTA[[#This Row],[HARGA SATUAN]]="",),"",NOTA[[#This Row],[QTY]]*NOTA[[#This Row],[HARGA SATUAN]])</f>
        <v>8467200</v>
      </c>
      <c r="AF362" s="34">
        <f ca="1">IF(NOTA[ID_H]="","",INDEX(NOTA[TANGGAL],MATCH(,INDIRECT(ADDRESS(ROW(NOTA[TANGGAL]),COLUMN(NOTA[TANGGAL]))&amp;":"&amp;ADDRESS(ROW(),COLUMN(NOTA[TANGGAL]))),-1)))</f>
        <v>44856</v>
      </c>
      <c r="AG362" s="30" t="str">
        <f ca="1">IF(NOTA[[#This Row],[NAMA BARANG]]="","",INDEX(NOTA[SUPPLIER],MATCH(,INDIRECT(ADDRESS(ROW(NOTA[ID]),COLUMN(NOTA[ID]))&amp;":"&amp;ADDRESS(ROW(),COLUMN(NOTA[ID]))),-1)))</f>
        <v>ATALI MAKMUR</v>
      </c>
      <c r="AH362" s="16" t="str">
        <f ca="1">IF(NOTA[[#This Row],[ID]]="","",COUNTIF(NOTA[ID_H],NOTA[[#This Row],[ID_H]]))</f>
        <v/>
      </c>
      <c r="AI362" s="16">
        <f ca="1">IF(NOTA[[#This Row],[TGL.NOTA]]="",IF(NOTA[[#This Row],[SUPPLIER_H]]="","",AI361),MONTH(NOTA[[#This Row],[TGL.NOTA]]))</f>
        <v>10</v>
      </c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81</v>
      </c>
      <c r="E363" s="32"/>
      <c r="F363" s="31"/>
      <c r="G363" s="31"/>
      <c r="H363" s="33"/>
      <c r="I363" s="31"/>
      <c r="J363" s="34"/>
      <c r="K363" s="31"/>
      <c r="L363" s="31" t="s">
        <v>217</v>
      </c>
      <c r="M363" s="35">
        <v>2</v>
      </c>
      <c r="N363" s="31">
        <v>480</v>
      </c>
      <c r="O363" s="31" t="s">
        <v>204</v>
      </c>
      <c r="P363" s="30">
        <v>8800</v>
      </c>
      <c r="Q363" s="103"/>
      <c r="R363" s="35"/>
      <c r="S363" s="37">
        <v>0.125</v>
      </c>
      <c r="T363" s="37">
        <v>0.05</v>
      </c>
      <c r="U363" s="36"/>
      <c r="V363" s="87"/>
      <c r="W363" s="36">
        <f>IF(NOTA[[#This Row],[HARGA/ CTN]]="",NOTA[[#This Row],[JUMLAH_H]],NOTA[[#This Row],[HARGA/ CTN]]*NOTA[[#This Row],[C]])</f>
        <v>4224000</v>
      </c>
      <c r="X363" s="36">
        <f>IF(NOTA[[#This Row],[JUMLAH]]="","",NOTA[[#This Row],[JUMLAH]]*NOTA[[#This Row],[DISC 1]])</f>
        <v>528000</v>
      </c>
      <c r="Y363" s="36">
        <f>IF(NOTA[[#This Row],[JUMLAH]]="","",(NOTA[[#This Row],[JUMLAH]]-NOTA[[#This Row],[DISC 1-]])*NOTA[[#This Row],[DISC 2]])</f>
        <v>184800</v>
      </c>
      <c r="Z363" s="36">
        <f>IF(NOTA[[#This Row],[JUMLAH]]="","",NOTA[[#This Row],[DISC 1-]]+NOTA[[#This Row],[DISC 2-]])</f>
        <v>712800</v>
      </c>
      <c r="AA363" s="36">
        <f>IF(NOTA[[#This Row],[JUMLAH]]="","",NOTA[[#This Row],[JUMLAH]]-NOTA[[#This Row],[DISC]])</f>
        <v>3511200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63" s="36">
        <f>IF(OR(NOTA[[#This Row],[QTY]]="",NOTA[[#This Row],[HARGA SATUAN]]="",),"",NOTA[[#This Row],[QTY]]*NOTA[[#This Row],[HARGA SATUAN]])</f>
        <v>4224000</v>
      </c>
      <c r="AF363" s="34">
        <f ca="1">IF(NOTA[ID_H]="","",INDEX(NOTA[TANGGAL],MATCH(,INDIRECT(ADDRESS(ROW(NOTA[TANGGAL]),COLUMN(NOTA[TANGGAL]))&amp;":"&amp;ADDRESS(ROW(),COLUMN(NOTA[TANGGAL]))),-1)))</f>
        <v>44856</v>
      </c>
      <c r="AG363" s="30" t="str">
        <f ca="1">IF(NOTA[[#This Row],[NAMA BARANG]]="","",INDEX(NOTA[SUPPLIER],MATCH(,INDIRECT(ADDRESS(ROW(NOTA[ID]),COLUMN(NOTA[ID]))&amp;":"&amp;ADDRESS(ROW(),COLUMN(NOTA[ID]))),-1)))</f>
        <v>ATALI MAKMUR</v>
      </c>
      <c r="AH363" s="16" t="str">
        <f ca="1">IF(NOTA[[#This Row],[ID]]="","",COUNTIF(NOTA[ID_H],NOTA[[#This Row],[ID_H]]))</f>
        <v/>
      </c>
      <c r="AI363" s="16">
        <f ca="1"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81</v>
      </c>
      <c r="E364" s="32"/>
      <c r="F364" s="31"/>
      <c r="G364" s="31"/>
      <c r="H364" s="33"/>
      <c r="I364" s="31"/>
      <c r="J364" s="34"/>
      <c r="K364" s="31"/>
      <c r="L364" s="31" t="s">
        <v>597</v>
      </c>
      <c r="M364" s="35">
        <v>2</v>
      </c>
      <c r="N364" s="31">
        <v>576</v>
      </c>
      <c r="O364" s="31" t="s">
        <v>588</v>
      </c>
      <c r="P364" s="30">
        <v>3100</v>
      </c>
      <c r="Q364" s="103"/>
      <c r="R364" s="35"/>
      <c r="S364" s="37">
        <v>0.125</v>
      </c>
      <c r="T364" s="37">
        <v>0.05</v>
      </c>
      <c r="U364" s="36"/>
      <c r="V364" s="87"/>
      <c r="W364" s="36">
        <f>IF(NOTA[[#This Row],[HARGA/ CTN]]="",NOTA[[#This Row],[JUMLAH_H]],NOTA[[#This Row],[HARGA/ CTN]]*NOTA[[#This Row],[C]])</f>
        <v>1785600</v>
      </c>
      <c r="X364" s="36">
        <f>IF(NOTA[[#This Row],[JUMLAH]]="","",NOTA[[#This Row],[JUMLAH]]*NOTA[[#This Row],[DISC 1]])</f>
        <v>223200</v>
      </c>
      <c r="Y364" s="36">
        <f>IF(NOTA[[#This Row],[JUMLAH]]="","",(NOTA[[#This Row],[JUMLAH]]-NOTA[[#This Row],[DISC 1-]])*NOTA[[#This Row],[DISC 2]])</f>
        <v>78120</v>
      </c>
      <c r="Z364" s="36">
        <f>IF(NOTA[[#This Row],[JUMLAH]]="","",NOTA[[#This Row],[DISC 1-]]+NOTA[[#This Row],[DISC 2-]])</f>
        <v>301320</v>
      </c>
      <c r="AA364" s="36">
        <f>IF(NOTA[[#This Row],[JUMLAH]]="","",NOTA[[#This Row],[JUMLAH]]-NOTA[[#This Row],[DISC]])</f>
        <v>1484280</v>
      </c>
      <c r="AB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4" s="36">
        <f>IF(OR(NOTA[[#This Row],[QTY]]="",NOTA[[#This Row],[HARGA SATUAN]]="",),"",NOTA[[#This Row],[QTY]]*NOTA[[#This Row],[HARGA SATUAN]])</f>
        <v>1785600</v>
      </c>
      <c r="AF364" s="34">
        <f ca="1">IF(NOTA[ID_H]="","",INDEX(NOTA[TANGGAL],MATCH(,INDIRECT(ADDRESS(ROW(NOTA[TANGGAL]),COLUMN(NOTA[TANGGAL]))&amp;":"&amp;ADDRESS(ROW(),COLUMN(NOTA[TANGGAL]))),-1)))</f>
        <v>44856</v>
      </c>
      <c r="AG364" s="30" t="str">
        <f ca="1">IF(NOTA[[#This Row],[NAMA BARANG]]="","",INDEX(NOTA[SUPPLIER],MATCH(,INDIRECT(ADDRESS(ROW(NOTA[ID]),COLUMN(NOTA[ID]))&amp;":"&amp;ADDRESS(ROW(),COLUMN(NOTA[ID]))),-1)))</f>
        <v>ATALI MAKMUR</v>
      </c>
      <c r="AH364" s="16" t="str">
        <f ca="1">IF(NOTA[[#This Row],[ID]]="","",COUNTIF(NOTA[ID_H],NOTA[[#This Row],[ID_H]]))</f>
        <v/>
      </c>
      <c r="AI364" s="16">
        <f ca="1">IF(NOTA[[#This Row],[TGL.NOTA]]="",IF(NOTA[[#This Row],[SUPPLIER_H]]="","",AI363),MONTH(NOTA[[#This Row],[TGL.NOTA]]))</f>
        <v>10</v>
      </c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>
        <f ca="1">IF(NOTA[[#This Row],[NAMA BARANG]]="","",INDEX(NOTA[ID],MATCH(,INDIRECT(ADDRESS(ROW(NOTA[ID]),COLUMN(NOTA[ID]))&amp;":"&amp;ADDRESS(ROW(),COLUMN(NOTA[ID]))),-1)))</f>
        <v>81</v>
      </c>
      <c r="E365" s="32"/>
      <c r="F365" s="31"/>
      <c r="G365" s="31"/>
      <c r="H365" s="33"/>
      <c r="I365" s="31"/>
      <c r="J365" s="34"/>
      <c r="K365" s="31"/>
      <c r="L365" s="31" t="s">
        <v>333</v>
      </c>
      <c r="M365" s="35">
        <v>5</v>
      </c>
      <c r="N365" s="31">
        <v>720</v>
      </c>
      <c r="O365" s="31" t="s">
        <v>204</v>
      </c>
      <c r="P365" s="30">
        <v>10600</v>
      </c>
      <c r="Q365" s="103"/>
      <c r="R365" s="35"/>
      <c r="S365" s="37">
        <v>0.125</v>
      </c>
      <c r="T365" s="37">
        <v>0.05</v>
      </c>
      <c r="U365" s="36"/>
      <c r="V365" s="87"/>
      <c r="W365" s="36">
        <f>IF(NOTA[[#This Row],[HARGA/ CTN]]="",NOTA[[#This Row],[JUMLAH_H]],NOTA[[#This Row],[HARGA/ CTN]]*NOTA[[#This Row],[C]])</f>
        <v>7632000</v>
      </c>
      <c r="X365" s="36">
        <f>IF(NOTA[[#This Row],[JUMLAH]]="","",NOTA[[#This Row],[JUMLAH]]*NOTA[[#This Row],[DISC 1]])</f>
        <v>954000</v>
      </c>
      <c r="Y365" s="36">
        <f>IF(NOTA[[#This Row],[JUMLAH]]="","",(NOTA[[#This Row],[JUMLAH]]-NOTA[[#This Row],[DISC 1-]])*NOTA[[#This Row],[DISC 2]])</f>
        <v>333900</v>
      </c>
      <c r="Z365" s="36">
        <f>IF(NOTA[[#This Row],[JUMLAH]]="","",NOTA[[#This Row],[DISC 1-]]+NOTA[[#This Row],[DISC 2-]])</f>
        <v>1287900</v>
      </c>
      <c r="AA365" s="36">
        <f>IF(NOTA[[#This Row],[JUMLAH]]="","",NOTA[[#This Row],[JUMLAH]]-NOTA[[#This Row],[DISC]])</f>
        <v>6344100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5" s="36">
        <f>IF(OR(NOTA[[#This Row],[QTY]]="",NOTA[[#This Row],[HARGA SATUAN]]="",),"",NOTA[[#This Row],[QTY]]*NOTA[[#This Row],[HARGA SATUAN]])</f>
        <v>7632000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0" t="str">
        <f ca="1">IF(NOTA[[#This Row],[NAMA BARANG]]="","",INDEX(NOTA[SUPPLIER],MATCH(,INDIRECT(ADDRESS(ROW(NOTA[ID]),COLUMN(NOTA[ID]))&amp;":"&amp;ADDRESS(ROW(),COLUMN(NOTA[ID]))),-1)))</f>
        <v>ATALI MAKMUR</v>
      </c>
      <c r="AH365" s="16" t="str">
        <f ca="1">IF(NOTA[[#This Row],[ID]]="","",COUNTIF(NOTA[ID_H],NOTA[[#This Row],[ID_H]]))</f>
        <v/>
      </c>
      <c r="AI365" s="16">
        <f ca="1">IF(NOTA[[#This Row],[TGL.NOTA]]="",IF(NOTA[[#This Row],[SUPPLIER_H]]="","",AI364),MONTH(NOTA[[#This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81</v>
      </c>
      <c r="E366" s="32"/>
      <c r="F366" s="31"/>
      <c r="G366" s="31"/>
      <c r="H366" s="33"/>
      <c r="I366" s="31"/>
      <c r="J366" s="34"/>
      <c r="K366" s="31"/>
      <c r="L366" s="31" t="s">
        <v>449</v>
      </c>
      <c r="M366" s="35">
        <v>5</v>
      </c>
      <c r="N366" s="31">
        <v>360</v>
      </c>
      <c r="O366" s="31" t="s">
        <v>204</v>
      </c>
      <c r="P366" s="30">
        <v>21200</v>
      </c>
      <c r="Q366" s="103"/>
      <c r="R366" s="35"/>
      <c r="S366" s="37">
        <v>0.125</v>
      </c>
      <c r="T366" s="37">
        <v>0.05</v>
      </c>
      <c r="U366" s="36"/>
      <c r="V366" s="87"/>
      <c r="W366" s="36">
        <f>IF(NOTA[[#This Row],[HARGA/ CTN]]="",NOTA[[#This Row],[JUMLAH_H]],NOTA[[#This Row],[HARGA/ CTN]]*NOTA[[#This Row],[C]])</f>
        <v>7632000</v>
      </c>
      <c r="X366" s="36">
        <f>IF(NOTA[[#This Row],[JUMLAH]]="","",NOTA[[#This Row],[JUMLAH]]*NOTA[[#This Row],[DISC 1]])</f>
        <v>954000</v>
      </c>
      <c r="Y366" s="36">
        <f>IF(NOTA[[#This Row],[JUMLAH]]="","",(NOTA[[#This Row],[JUMLAH]]-NOTA[[#This Row],[DISC 1-]])*NOTA[[#This Row],[DISC 2]])</f>
        <v>333900</v>
      </c>
      <c r="Z366" s="36">
        <f>IF(NOTA[[#This Row],[JUMLAH]]="","",NOTA[[#This Row],[DISC 1-]]+NOTA[[#This Row],[DISC 2-]])</f>
        <v>1287900</v>
      </c>
      <c r="AA366" s="36">
        <f>IF(NOTA[[#This Row],[JUMLAH]]="","",NOTA[[#This Row],[JUMLAH]]-NOTA[[#This Row],[DISC]])</f>
        <v>6344100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66" s="36">
        <f>IF(OR(NOTA[[#This Row],[QTY]]="",NOTA[[#This Row],[HARGA SATUAN]]="",),"",NOTA[[#This Row],[QTY]]*NOTA[[#This Row],[HARGA SATUAN]])</f>
        <v>7632000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0" t="str">
        <f ca="1">IF(NOTA[[#This Row],[NAMA BARANG]]="","",INDEX(NOTA[SUPPLIER],MATCH(,INDIRECT(ADDRESS(ROW(NOTA[ID]),COLUMN(NOTA[ID]))&amp;":"&amp;ADDRESS(ROW(),COLUMN(NOTA[ID]))),-1)))</f>
        <v>ATALI MAKMUR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81</v>
      </c>
      <c r="E367" s="32"/>
      <c r="F367" s="31"/>
      <c r="G367" s="31"/>
      <c r="H367" s="33"/>
      <c r="I367" s="31"/>
      <c r="J367" s="34"/>
      <c r="K367" s="31"/>
      <c r="L367" s="31" t="s">
        <v>471</v>
      </c>
      <c r="M367" s="35">
        <v>5</v>
      </c>
      <c r="N367" s="31">
        <v>720</v>
      </c>
      <c r="O367" s="31" t="s">
        <v>88</v>
      </c>
      <c r="P367" s="30">
        <v>6300</v>
      </c>
      <c r="Q367" s="103"/>
      <c r="R367" s="35"/>
      <c r="S367" s="37">
        <v>0.125</v>
      </c>
      <c r="T367" s="37">
        <v>0.05</v>
      </c>
      <c r="U367" s="36"/>
      <c r="V367" s="87"/>
      <c r="W367" s="36">
        <f>IF(NOTA[[#This Row],[HARGA/ CTN]]="",NOTA[[#This Row],[JUMLAH_H]],NOTA[[#This Row],[HARGA/ CTN]]*NOTA[[#This Row],[C]])</f>
        <v>4536000</v>
      </c>
      <c r="X367" s="36">
        <f>IF(NOTA[[#This Row],[JUMLAH]]="","",NOTA[[#This Row],[JUMLAH]]*NOTA[[#This Row],[DISC 1]])</f>
        <v>567000</v>
      </c>
      <c r="Y367" s="36">
        <f>IF(NOTA[[#This Row],[JUMLAH]]="","",(NOTA[[#This Row],[JUMLAH]]-NOTA[[#This Row],[DISC 1-]])*NOTA[[#This Row],[DISC 2]])</f>
        <v>198450</v>
      </c>
      <c r="Z367" s="36">
        <f>IF(NOTA[[#This Row],[JUMLAH]]="","",NOTA[[#This Row],[DISC 1-]]+NOTA[[#This Row],[DISC 2-]])</f>
        <v>765450</v>
      </c>
      <c r="AA367" s="36">
        <f>IF(NOTA[[#This Row],[JUMLAH]]="","",NOTA[[#This Row],[JUMLAH]]-NOTA[[#This Row],[DISC]])</f>
        <v>3770550</v>
      </c>
      <c r="AB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3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67" s="36">
        <f>IF(OR(NOTA[[#This Row],[QTY]]="",NOTA[[#This Row],[HARGA SATUAN]]="",),"",NOTA[[#This Row],[QTY]]*NOTA[[#This Row],[HARGA SATUAN]])</f>
        <v>4536000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0" t="str">
        <f ca="1">IF(NOTA[[#This Row],[NAMA BARANG]]="","",INDEX(NOTA[SUPPLIER],MATCH(,INDIRECT(ADDRESS(ROW(NOTA[ID]),COLUMN(NOTA[ID]))&amp;":"&amp;ADDRESS(ROW(),COLUMN(NOTA[ID]))),-1)))</f>
        <v>ATALI MAKMUR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 t="str">
        <f ca="1">IF(NOTA[[#This Row],[NAMA BARANG]]="","",INDEX(NOTA[ID],MATCH(,INDIRECT(ADDRESS(ROW(NOTA[ID]),COLUMN(NOTA[ID]))&amp;":"&amp;ADDRESS(ROW(),COLUMN(NOTA[ID]))),-1)))</f>
        <v/>
      </c>
      <c r="E368" s="32"/>
      <c r="F368" s="31"/>
      <c r="G368" s="31"/>
      <c r="H368" s="33"/>
      <c r="I368" s="31"/>
      <c r="J368" s="34"/>
      <c r="K368" s="31"/>
      <c r="L368" s="31"/>
      <c r="M368" s="35"/>
      <c r="N368" s="31"/>
      <c r="O368" s="31"/>
      <c r="P368" s="30"/>
      <c r="Q368" s="103"/>
      <c r="R368" s="35"/>
      <c r="S368" s="37"/>
      <c r="T368" s="37"/>
      <c r="U368" s="36"/>
      <c r="V368" s="87"/>
      <c r="W368" s="36" t="str">
        <f>IF(NOTA[[#This Row],[HARGA/ CTN]]="",NOTA[[#This Row],[JUMLAH_H]],NOTA[[#This Row],[HARGA/ CTN]]*NOTA[[#This Row],[C]])</f>
        <v/>
      </c>
      <c r="X368" s="36" t="str">
        <f>IF(NOTA[[#This Row],[JUMLAH]]="","",NOTA[[#This Row],[JUMLAH]]*NOTA[[#This Row],[DISC 1]])</f>
        <v/>
      </c>
      <c r="Y368" s="36" t="str">
        <f>IF(NOTA[[#This Row],[JUMLAH]]="","",(NOTA[[#This Row],[JUMLAH]]-NOTA[[#This Row],[DISC 1-]])*NOTA[[#This Row],[DISC 2]])</f>
        <v/>
      </c>
      <c r="Z368" s="36" t="str">
        <f>IF(NOTA[[#This Row],[JUMLAH]]="","",NOTA[[#This Row],[DISC 1-]]+NOTA[[#This Row],[DISC 2-]])</f>
        <v/>
      </c>
      <c r="AA368" s="36" t="str">
        <f>IF(NOTA[[#This Row],[JUMLAH]]="","",NOTA[[#This Row],[JUMLAH]]-NOTA[[#This Row],[DISC]])</f>
        <v/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102" t="str">
        <f>IF(OR(NOTA[[#This Row],[QTY]]="",NOTA[[#This Row],[HARGA SATUAN]]="",),"",NOTA[[#This Row],[QTY]]*NOTA[[#This Row],[HARGA SATUAN]])</f>
        <v/>
      </c>
      <c r="AF368" s="34" t="str">
        <f ca="1">IF(NOTA[ID_H]="","",INDEX(NOTA[TANGGAL],MATCH(,INDIRECT(ADDRESS(ROW(NOTA[TANGGAL]),COLUMN(NOTA[TANGGAL]))&amp;":"&amp;ADDRESS(ROW(),COLUMN(NOTA[TANGGAL]))),-1)))</f>
        <v/>
      </c>
      <c r="AG368" s="30" t="str">
        <f ca="1">IF(NOTA[[#This Row],[NAMA BARANG]]="","",INDEX(NOTA[SUPPLIER],MATCH(,INDIRECT(ADDRESS(ROW(NOTA[ID]),COLUMN(NOTA[ID]))&amp;":"&amp;ADDRESS(ROW(),COLUMN(NOTA[ID]))),-1)))</f>
        <v/>
      </c>
      <c r="AH368" s="22" t="str">
        <f ca="1">IF(NOTA[[#This Row],[ID]]="","",COUNTIF(NOTA[ID_H],NOTA[[#This Row],[ID_H]]))</f>
        <v/>
      </c>
      <c r="AI368" s="16" t="str">
        <f ca="1">IF(NOTA[[#This Row],[TGL.NOTA]]="",IF(NOTA[[#This Row],[SUPPLIER_H]]="","",AI367),MONTH(NOTA[[#This Row],[TGL.NOTA]]))</f>
        <v/>
      </c>
      <c r="AJ368" s="16"/>
    </row>
    <row r="369" spans="1:36" ht="20.100000000000001" customHeight="1" x14ac:dyDescent="0.25">
      <c r="A369" s="30">
        <f ca="1">IF(INDIRECT(ADDRESS(ROW()-1,COLUMN(NOTA[[#Headers],[ID]])))="ID",1,IF(NOTA[[#This Row],[FAKTUR]]="","",COUNT(INDIRECT(ADDRESS(ROW(NOTA[ID]),COLUMN(NOTA[ID]))&amp;":"&amp;ADDRESS(ROW()-1,COLUMN(NOTA[ID]))))+1))</f>
        <v>82</v>
      </c>
      <c r="B3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369" s="39" t="e">
        <f ca="1">IF(NOTA[[#This Row],[ID_P]]="","",MATCH(NOTA[[#This Row],[ID_P]],[1]!B_MSK[N_ID],0))</f>
        <v>#REF!</v>
      </c>
      <c r="D369" s="39">
        <f ca="1">IF(NOTA[[#This Row],[NAMA BARANG]]="","",INDEX(NOTA[ID],MATCH(,INDIRECT(ADDRESS(ROW(NOTA[ID]),COLUMN(NOTA[ID]))&amp;":"&amp;ADDRESS(ROW(),COLUMN(NOTA[ID]))),-1)))</f>
        <v>82</v>
      </c>
      <c r="E369" s="32"/>
      <c r="F369" s="31" t="s">
        <v>25</v>
      </c>
      <c r="G369" s="31" t="s">
        <v>24</v>
      </c>
      <c r="H369" s="33" t="s">
        <v>584</v>
      </c>
      <c r="I369" s="31"/>
      <c r="J369" s="34">
        <v>44853</v>
      </c>
      <c r="K369" s="31"/>
      <c r="L369" s="31" t="s">
        <v>598</v>
      </c>
      <c r="M369" s="35">
        <v>2</v>
      </c>
      <c r="N369" s="31">
        <v>24</v>
      </c>
      <c r="O369" s="31" t="s">
        <v>220</v>
      </c>
      <c r="P369" s="30">
        <v>176400</v>
      </c>
      <c r="Q369" s="103"/>
      <c r="R369" s="35"/>
      <c r="S369" s="37">
        <v>0.125</v>
      </c>
      <c r="T369" s="37">
        <v>0.05</v>
      </c>
      <c r="U369" s="36"/>
      <c r="V369" s="87"/>
      <c r="W369" s="36">
        <f>IF(NOTA[[#This Row],[HARGA/ CTN]]="",NOTA[[#This Row],[JUMLAH_H]],NOTA[[#This Row],[HARGA/ CTN]]*NOTA[[#This Row],[C]])</f>
        <v>4233600</v>
      </c>
      <c r="X369" s="36">
        <f>IF(NOTA[[#This Row],[JUMLAH]]="","",NOTA[[#This Row],[JUMLAH]]*NOTA[[#This Row],[DISC 1]])</f>
        <v>529200</v>
      </c>
      <c r="Y369" s="36">
        <f>IF(NOTA[[#This Row],[JUMLAH]]="","",(NOTA[[#This Row],[JUMLAH]]-NOTA[[#This Row],[DISC 1-]])*NOTA[[#This Row],[DISC 2]])</f>
        <v>185220</v>
      </c>
      <c r="Z369" s="36">
        <f>IF(NOTA[[#This Row],[JUMLAH]]="","",NOTA[[#This Row],[DISC 1-]]+NOTA[[#This Row],[DISC 2-]])</f>
        <v>714420</v>
      </c>
      <c r="AA369" s="36">
        <f>IF(NOTA[[#This Row],[JUMLAH]]="","",NOTA[[#This Row],[JUMLAH]]-NOTA[[#This Row],[DISC]])</f>
        <v>3519180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69" s="36">
        <f>IF(OR(NOTA[[#This Row],[QTY]]="",NOTA[[#This Row],[HARGA SATUAN]]="",),"",NOTA[[#This Row],[QTY]]*NOTA[[#This Row],[HARGA SATUAN]])</f>
        <v>4233600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0" t="str">
        <f ca="1">IF(NOTA[[#This Row],[NAMA BARANG]]="","",INDEX(NOTA[SUPPLIER],MATCH(,INDIRECT(ADDRESS(ROW(NOTA[ID]),COLUMN(NOTA[ID]))&amp;":"&amp;ADDRESS(ROW(),COLUMN(NOTA[ID]))),-1)))</f>
        <v>ATALI MAKMUR</v>
      </c>
      <c r="AH369" s="16">
        <f ca="1">IF(NOTA[[#This Row],[ID]]="","",COUNTIF(NOTA[ID_H],NOTA[[#This Row],[ID_H]]))</f>
        <v>12</v>
      </c>
      <c r="AI369" s="16">
        <f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82</v>
      </c>
      <c r="E370" s="32"/>
      <c r="F370" s="31"/>
      <c r="G370" s="31"/>
      <c r="H370" s="33"/>
      <c r="I370" s="31"/>
      <c r="J370" s="34"/>
      <c r="K370" s="31"/>
      <c r="L370" s="31" t="s">
        <v>599</v>
      </c>
      <c r="M370" s="35">
        <v>2</v>
      </c>
      <c r="N370" s="31">
        <v>48</v>
      </c>
      <c r="O370" s="31" t="s">
        <v>88</v>
      </c>
      <c r="P370" s="30">
        <v>97000</v>
      </c>
      <c r="Q370" s="103"/>
      <c r="R370" s="35"/>
      <c r="S370" s="37">
        <v>0.125</v>
      </c>
      <c r="T370" s="37">
        <v>0.05</v>
      </c>
      <c r="U370" s="36"/>
      <c r="V370" s="87"/>
      <c r="W370" s="36">
        <f>IF(NOTA[[#This Row],[HARGA/ CTN]]="",NOTA[[#This Row],[JUMLAH_H]],NOTA[[#This Row],[HARGA/ CTN]]*NOTA[[#This Row],[C]])</f>
        <v>4656000</v>
      </c>
      <c r="X370" s="36">
        <f>IF(NOTA[[#This Row],[JUMLAH]]="","",NOTA[[#This Row],[JUMLAH]]*NOTA[[#This Row],[DISC 1]])</f>
        <v>582000</v>
      </c>
      <c r="Y370" s="36">
        <f>IF(NOTA[[#This Row],[JUMLAH]]="","",(NOTA[[#This Row],[JUMLAH]]-NOTA[[#This Row],[DISC 1-]])*NOTA[[#This Row],[DISC 2]])</f>
        <v>203700</v>
      </c>
      <c r="Z370" s="36">
        <f>IF(NOTA[[#This Row],[JUMLAH]]="","",NOTA[[#This Row],[DISC 1-]]+NOTA[[#This Row],[DISC 2-]])</f>
        <v>785700</v>
      </c>
      <c r="AA370" s="36">
        <f>IF(NOTA[[#This Row],[JUMLAH]]="","",NOTA[[#This Row],[JUMLAH]]-NOTA[[#This Row],[DISC]])</f>
        <v>3870300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370" s="36">
        <f>IF(OR(NOTA[[#This Row],[QTY]]="",NOTA[[#This Row],[HARGA SATUAN]]="",),"",NOTA[[#This Row],[QTY]]*NOTA[[#This Row],[HARGA SATUAN]])</f>
        <v>4656000</v>
      </c>
      <c r="AF370" s="34">
        <f ca="1">IF(NOTA[ID_H]="","",INDEX(NOTA[TANGGAL],MATCH(,INDIRECT(ADDRESS(ROW(NOTA[TANGGAL]),COLUMN(NOTA[TANGGAL]))&amp;":"&amp;ADDRESS(ROW(),COLUMN(NOTA[TANGGAL]))),-1)))</f>
        <v>44856</v>
      </c>
      <c r="AG370" s="30" t="str">
        <f ca="1">IF(NOTA[[#This Row],[NAMA BARANG]]="","",INDEX(NOTA[SUPPLIER],MATCH(,INDIRECT(ADDRESS(ROW(NOTA[ID]),COLUMN(NOTA[ID]))&amp;":"&amp;ADDRESS(ROW(),COLUMN(NOTA[ID]))),-1)))</f>
        <v>ATALI MAKMUR</v>
      </c>
      <c r="AH370" s="16" t="str">
        <f ca="1">IF(NOTA[[#This Row],[ID]]="","",COUNTIF(NOTA[ID_H],NOTA[[#This Row],[ID_H]]))</f>
        <v/>
      </c>
      <c r="AI370" s="16">
        <f ca="1">IF(NOTA[[#This Row],[TGL.NOTA]]="",IF(NOTA[[#This Row],[SUPPLIER_H]]="","",AI369),MONTH(NOTA[[#This Row],[TGL.NOTA]]))</f>
        <v>10</v>
      </c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82</v>
      </c>
      <c r="E371" s="32"/>
      <c r="F371" s="31"/>
      <c r="G371" s="31"/>
      <c r="H371" s="33"/>
      <c r="I371" s="31"/>
      <c r="J371" s="34"/>
      <c r="K371" s="31"/>
      <c r="L371" s="31" t="s">
        <v>475</v>
      </c>
      <c r="M371" s="35">
        <v>5</v>
      </c>
      <c r="N371" s="31">
        <v>150</v>
      </c>
      <c r="O371" s="31" t="s">
        <v>220</v>
      </c>
      <c r="P371" s="30">
        <v>104400</v>
      </c>
      <c r="Q371" s="103"/>
      <c r="R371" s="35"/>
      <c r="S371" s="37">
        <v>0.125</v>
      </c>
      <c r="T371" s="37">
        <v>0.05</v>
      </c>
      <c r="U371" s="36"/>
      <c r="V371" s="87"/>
      <c r="W371" s="36">
        <f>IF(NOTA[[#This Row],[HARGA/ CTN]]="",NOTA[[#This Row],[JUMLAH_H]],NOTA[[#This Row],[HARGA/ CTN]]*NOTA[[#This Row],[C]])</f>
        <v>15660000</v>
      </c>
      <c r="X371" s="36">
        <f>IF(NOTA[[#This Row],[JUMLAH]]="","",NOTA[[#This Row],[JUMLAH]]*NOTA[[#This Row],[DISC 1]])</f>
        <v>1957500</v>
      </c>
      <c r="Y371" s="36">
        <f>IF(NOTA[[#This Row],[JUMLAH]]="","",(NOTA[[#This Row],[JUMLAH]]-NOTA[[#This Row],[DISC 1-]])*NOTA[[#This Row],[DISC 2]])</f>
        <v>685125</v>
      </c>
      <c r="Z371" s="36">
        <f>IF(NOTA[[#This Row],[JUMLAH]]="","",NOTA[[#This Row],[DISC 1-]]+NOTA[[#This Row],[DISC 2-]])</f>
        <v>2642625</v>
      </c>
      <c r="AA371" s="36">
        <f>IF(NOTA[[#This Row],[JUMLAH]]="","",NOTA[[#This Row],[JUMLAH]]-NOTA[[#This Row],[DISC]])</f>
        <v>13017375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1" s="36">
        <f>IF(OR(NOTA[[#This Row],[QTY]]="",NOTA[[#This Row],[HARGA SATUAN]]="",),"",NOTA[[#This Row],[QTY]]*NOTA[[#This Row],[HARGA SATUAN]])</f>
        <v>15660000</v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ATALI MAKMUR</v>
      </c>
      <c r="AH371" s="16" t="str">
        <f ca="1">IF(NOTA[[#This Row],[ID]]="","",COUNTIF(NOTA[ID_H],NOTA[[#This Row],[ID_H]]))</f>
        <v/>
      </c>
      <c r="AI371" s="16">
        <f ca="1"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82</v>
      </c>
      <c r="E372" s="32"/>
      <c r="F372" s="31"/>
      <c r="G372" s="31"/>
      <c r="H372" s="33"/>
      <c r="I372" s="31"/>
      <c r="J372" s="34"/>
      <c r="K372" s="31"/>
      <c r="L372" s="31" t="s">
        <v>600</v>
      </c>
      <c r="M372" s="35">
        <v>3</v>
      </c>
      <c r="N372" s="31">
        <v>864</v>
      </c>
      <c r="O372" s="31" t="s">
        <v>88</v>
      </c>
      <c r="P372" s="30">
        <v>4800</v>
      </c>
      <c r="Q372" s="103"/>
      <c r="R372" s="35"/>
      <c r="S372" s="37">
        <v>0.125</v>
      </c>
      <c r="T372" s="37">
        <v>0.05</v>
      </c>
      <c r="U372" s="36"/>
      <c r="V372" s="87"/>
      <c r="W372" s="36">
        <f>IF(NOTA[[#This Row],[HARGA/ CTN]]="",NOTA[[#This Row],[JUMLAH_H]],NOTA[[#This Row],[HARGA/ CTN]]*NOTA[[#This Row],[C]])</f>
        <v>4147200</v>
      </c>
      <c r="X372" s="36">
        <f>IF(NOTA[[#This Row],[JUMLAH]]="","",NOTA[[#This Row],[JUMLAH]]*NOTA[[#This Row],[DISC 1]])</f>
        <v>518400</v>
      </c>
      <c r="Y372" s="36">
        <f>IF(NOTA[[#This Row],[JUMLAH]]="","",(NOTA[[#This Row],[JUMLAH]]-NOTA[[#This Row],[DISC 1-]])*NOTA[[#This Row],[DISC 2]])</f>
        <v>181440</v>
      </c>
      <c r="Z372" s="36">
        <f>IF(NOTA[[#This Row],[JUMLAH]]="","",NOTA[[#This Row],[DISC 1-]]+NOTA[[#This Row],[DISC 2-]])</f>
        <v>699840</v>
      </c>
      <c r="AA372" s="36">
        <f>IF(NOTA[[#This Row],[JUMLAH]]="","",NOTA[[#This Row],[JUMLAH]]-NOTA[[#This Row],[DISC]])</f>
        <v>3447360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372" s="36">
        <f>IF(OR(NOTA[[#This Row],[QTY]]="",NOTA[[#This Row],[HARGA SATUAN]]="",),"",NOTA[[#This Row],[QTY]]*NOTA[[#This Row],[HARGA SATUAN]])</f>
        <v>4147200</v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ATALI MAKMUR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82</v>
      </c>
      <c r="E373" s="32"/>
      <c r="F373" s="31"/>
      <c r="G373" s="31"/>
      <c r="H373" s="33"/>
      <c r="I373" s="31"/>
      <c r="J373" s="34"/>
      <c r="K373" s="31"/>
      <c r="L373" s="31" t="s">
        <v>601</v>
      </c>
      <c r="M373" s="35" t="s">
        <v>587</v>
      </c>
      <c r="N373" s="31">
        <v>144</v>
      </c>
      <c r="O373" s="31" t="s">
        <v>88</v>
      </c>
      <c r="P373" s="30">
        <v>4800</v>
      </c>
      <c r="Q373" s="103"/>
      <c r="R373" s="35"/>
      <c r="S373" s="37">
        <v>0.125</v>
      </c>
      <c r="T373" s="37">
        <v>0.05</v>
      </c>
      <c r="U373" s="36"/>
      <c r="V373" s="87"/>
      <c r="W373" s="36">
        <f>IF(NOTA[[#This Row],[HARGA/ CTN]]="",NOTA[[#This Row],[JUMLAH_H]],NOTA[[#This Row],[HARGA/ CTN]]*NOTA[[#This Row],[C]])</f>
        <v>691200</v>
      </c>
      <c r="X373" s="36">
        <f>IF(NOTA[[#This Row],[JUMLAH]]="","",NOTA[[#This Row],[JUMLAH]]*NOTA[[#This Row],[DISC 1]])</f>
        <v>86400</v>
      </c>
      <c r="Y373" s="36">
        <f>IF(NOTA[[#This Row],[JUMLAH]]="","",(NOTA[[#This Row],[JUMLAH]]-NOTA[[#This Row],[DISC 1-]])*NOTA[[#This Row],[DISC 2]])</f>
        <v>30240</v>
      </c>
      <c r="Z373" s="36">
        <f>IF(NOTA[[#This Row],[JUMLAH]]="","",NOTA[[#This Row],[DISC 1-]]+NOTA[[#This Row],[DISC 2-]])</f>
        <v>116640</v>
      </c>
      <c r="AA373" s="36">
        <f>IF(NOTA[[#This Row],[JUMLAH]]="","",NOTA[[#This Row],[JUMLAH]]-NOTA[[#This Row],[DISC]])</f>
        <v>574560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3" s="36">
        <f>IF(OR(NOTA[[#This Row],[QTY]]="",NOTA[[#This Row],[HARGA SATUAN]]="",),"",NOTA[[#This Row],[QTY]]*NOTA[[#This Row],[HARGA SATUAN]])</f>
        <v>691200</v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ATALI MAKMUR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82</v>
      </c>
      <c r="E374" s="32"/>
      <c r="F374" s="31"/>
      <c r="G374" s="31"/>
      <c r="H374" s="33"/>
      <c r="I374" s="31"/>
      <c r="J374" s="34"/>
      <c r="K374" s="31"/>
      <c r="L374" s="31" t="s">
        <v>602</v>
      </c>
      <c r="M374" s="35" t="s">
        <v>587</v>
      </c>
      <c r="N374" s="31">
        <v>144</v>
      </c>
      <c r="O374" s="31" t="s">
        <v>88</v>
      </c>
      <c r="P374" s="30">
        <v>4800</v>
      </c>
      <c r="Q374" s="103"/>
      <c r="R374" s="35"/>
      <c r="S374" s="37">
        <v>0.125</v>
      </c>
      <c r="T374" s="37">
        <v>0.05</v>
      </c>
      <c r="U374" s="36"/>
      <c r="V374" s="87"/>
      <c r="W374" s="36">
        <f>IF(NOTA[[#This Row],[HARGA/ CTN]]="",NOTA[[#This Row],[JUMLAH_H]],NOTA[[#This Row],[HARGA/ CTN]]*NOTA[[#This Row],[C]])</f>
        <v>691200</v>
      </c>
      <c r="X374" s="36">
        <f>IF(NOTA[[#This Row],[JUMLAH]]="","",NOTA[[#This Row],[JUMLAH]]*NOTA[[#This Row],[DISC 1]])</f>
        <v>86400</v>
      </c>
      <c r="Y374" s="36">
        <f>IF(NOTA[[#This Row],[JUMLAH]]="","",(NOTA[[#This Row],[JUMLAH]]-NOTA[[#This Row],[DISC 1-]])*NOTA[[#This Row],[DISC 2]])</f>
        <v>30240</v>
      </c>
      <c r="Z374" s="36">
        <f>IF(NOTA[[#This Row],[JUMLAH]]="","",NOTA[[#This Row],[DISC 1-]]+NOTA[[#This Row],[DISC 2-]])</f>
        <v>116640</v>
      </c>
      <c r="AA374" s="36">
        <f>IF(NOTA[[#This Row],[JUMLAH]]="","",NOTA[[#This Row],[JUMLAH]]-NOTA[[#This Row],[DISC]])</f>
        <v>574560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4" s="36">
        <f>IF(OR(NOTA[[#This Row],[QTY]]="",NOTA[[#This Row],[HARGA SATUAN]]="",),"",NOTA[[#This Row],[QTY]]*NOTA[[#This Row],[HARGA SATUAN]])</f>
        <v>691200</v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ATALI MAKMUR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82</v>
      </c>
      <c r="E375" s="32"/>
      <c r="F375" s="31"/>
      <c r="G375" s="31"/>
      <c r="H375" s="33"/>
      <c r="I375" s="31"/>
      <c r="J375" s="34"/>
      <c r="K375" s="31"/>
      <c r="L375" s="31" t="s">
        <v>603</v>
      </c>
      <c r="M375" s="35" t="s">
        <v>587</v>
      </c>
      <c r="N375" s="31">
        <v>144</v>
      </c>
      <c r="O375" s="31" t="s">
        <v>88</v>
      </c>
      <c r="P375" s="30">
        <v>4800</v>
      </c>
      <c r="Q375" s="103"/>
      <c r="R375" s="35"/>
      <c r="S375" s="37">
        <v>0.125</v>
      </c>
      <c r="T375" s="37">
        <v>0.05</v>
      </c>
      <c r="U375" s="36"/>
      <c r="V375" s="87"/>
      <c r="W375" s="36">
        <f>IF(NOTA[[#This Row],[HARGA/ CTN]]="",NOTA[[#This Row],[JUMLAH_H]],NOTA[[#This Row],[HARGA/ CTN]]*NOTA[[#This Row],[C]])</f>
        <v>691200</v>
      </c>
      <c r="X375" s="36">
        <f>IF(NOTA[[#This Row],[JUMLAH]]="","",NOTA[[#This Row],[JUMLAH]]*NOTA[[#This Row],[DISC 1]])</f>
        <v>86400</v>
      </c>
      <c r="Y375" s="36">
        <f>IF(NOTA[[#This Row],[JUMLAH]]="","",(NOTA[[#This Row],[JUMLAH]]-NOTA[[#This Row],[DISC 1-]])*NOTA[[#This Row],[DISC 2]])</f>
        <v>30240</v>
      </c>
      <c r="Z375" s="36">
        <f>IF(NOTA[[#This Row],[JUMLAH]]="","",NOTA[[#This Row],[DISC 1-]]+NOTA[[#This Row],[DISC 2-]])</f>
        <v>116640</v>
      </c>
      <c r="AA375" s="36">
        <f>IF(NOTA[[#This Row],[JUMLAH]]="","",NOTA[[#This Row],[JUMLAH]]-NOTA[[#This Row],[DISC]])</f>
        <v>574560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5" s="36">
        <f>IF(OR(NOTA[[#This Row],[QTY]]="",NOTA[[#This Row],[HARGA SATUAN]]="",),"",NOTA[[#This Row],[QTY]]*NOTA[[#This Row],[HARGA SATUAN]])</f>
        <v>691200</v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ATALI MAKMUR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82</v>
      </c>
      <c r="E376" s="32"/>
      <c r="F376" s="31"/>
      <c r="G376" s="31"/>
      <c r="H376" s="33"/>
      <c r="I376" s="31"/>
      <c r="J376" s="34"/>
      <c r="K376" s="31"/>
      <c r="L376" s="31" t="s">
        <v>604</v>
      </c>
      <c r="M376" s="35" t="s">
        <v>587</v>
      </c>
      <c r="N376" s="31">
        <v>144</v>
      </c>
      <c r="O376" s="31" t="s">
        <v>88</v>
      </c>
      <c r="P376" s="30">
        <v>4800</v>
      </c>
      <c r="Q376" s="103"/>
      <c r="R376" s="35"/>
      <c r="S376" s="37">
        <v>0.125</v>
      </c>
      <c r="T376" s="37">
        <v>0.05</v>
      </c>
      <c r="U376" s="36"/>
      <c r="V376" s="87"/>
      <c r="W376" s="36">
        <f>IF(NOTA[[#This Row],[HARGA/ CTN]]="",NOTA[[#This Row],[JUMLAH_H]],NOTA[[#This Row],[HARGA/ CTN]]*NOTA[[#This Row],[C]])</f>
        <v>691200</v>
      </c>
      <c r="X376" s="36">
        <f>IF(NOTA[[#This Row],[JUMLAH]]="","",NOTA[[#This Row],[JUMLAH]]*NOTA[[#This Row],[DISC 1]])</f>
        <v>86400</v>
      </c>
      <c r="Y376" s="36">
        <f>IF(NOTA[[#This Row],[JUMLAH]]="","",(NOTA[[#This Row],[JUMLAH]]-NOTA[[#This Row],[DISC 1-]])*NOTA[[#This Row],[DISC 2]])</f>
        <v>30240</v>
      </c>
      <c r="Z376" s="36">
        <f>IF(NOTA[[#This Row],[JUMLAH]]="","",NOTA[[#This Row],[DISC 1-]]+NOTA[[#This Row],[DISC 2-]])</f>
        <v>116640</v>
      </c>
      <c r="AA376" s="36">
        <f>IF(NOTA[[#This Row],[JUMLAH]]="","",NOTA[[#This Row],[JUMLAH]]-NOTA[[#This Row],[DISC]])</f>
        <v>574560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376" s="36">
        <f>IF(OR(NOTA[[#This Row],[QTY]]="",NOTA[[#This Row],[HARGA SATUAN]]="",),"",NOTA[[#This Row],[QTY]]*NOTA[[#This Row],[HARGA SATUAN]])</f>
        <v>691200</v>
      </c>
      <c r="AF376" s="34">
        <f ca="1">IF(NOTA[ID_H]="","",INDEX(NOTA[TANGGAL],MATCH(,INDIRECT(ADDRESS(ROW(NOTA[TANGGAL]),COLUMN(NOTA[TANGGAL]))&amp;":"&amp;ADDRESS(ROW(),COLUMN(NOTA[TANGGAL]))),-1)))</f>
        <v>44856</v>
      </c>
      <c r="AG376" s="30" t="str">
        <f ca="1">IF(NOTA[[#This Row],[NAMA BARANG]]="","",INDEX(NOTA[SUPPLIER],MATCH(,INDIRECT(ADDRESS(ROW(NOTA[ID]),COLUMN(NOTA[ID]))&amp;":"&amp;ADDRESS(ROW(),COLUMN(NOTA[ID]))),-1)))</f>
        <v>ATALI MAKMUR</v>
      </c>
      <c r="AH376" s="16" t="str">
        <f ca="1">IF(NOTA[[#This Row],[ID]]="","",COUNTIF(NOTA[ID_H],NOTA[[#This Row],[ID_H]]))</f>
        <v/>
      </c>
      <c r="AI376" s="16">
        <f ca="1">IF(NOTA[[#This Row],[TGL.NOTA]]="",IF(NOTA[[#This Row],[SUPPLIER_H]]="","",AI375),MONTH(NOTA[[#This Row],[TGL.NOTA]]))</f>
        <v>10</v>
      </c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82</v>
      </c>
      <c r="E377" s="32"/>
      <c r="F377" s="31"/>
      <c r="G377" s="31"/>
      <c r="H377" s="33"/>
      <c r="I377" s="31"/>
      <c r="J377" s="34"/>
      <c r="K377" s="31"/>
      <c r="L377" s="31" t="s">
        <v>592</v>
      </c>
      <c r="M377" s="35">
        <v>2</v>
      </c>
      <c r="N377" s="31">
        <v>1536</v>
      </c>
      <c r="O377" s="31" t="s">
        <v>88</v>
      </c>
      <c r="P377" s="30">
        <v>2100</v>
      </c>
      <c r="Q377" s="103"/>
      <c r="R377" s="35"/>
      <c r="S377" s="37">
        <v>0.125</v>
      </c>
      <c r="T377" s="37">
        <v>0.05</v>
      </c>
      <c r="U377" s="36"/>
      <c r="V377" s="87"/>
      <c r="W377" s="36">
        <f>IF(NOTA[[#This Row],[HARGA/ CTN]]="",NOTA[[#This Row],[JUMLAH_H]],NOTA[[#This Row],[HARGA/ CTN]]*NOTA[[#This Row],[C]])</f>
        <v>3225600</v>
      </c>
      <c r="X377" s="36">
        <f>IF(NOTA[[#This Row],[JUMLAH]]="","",NOTA[[#This Row],[JUMLAH]]*NOTA[[#This Row],[DISC 1]])</f>
        <v>403200</v>
      </c>
      <c r="Y377" s="36">
        <f>IF(NOTA[[#This Row],[JUMLAH]]="","",(NOTA[[#This Row],[JUMLAH]]-NOTA[[#This Row],[DISC 1-]])*NOTA[[#This Row],[DISC 2]])</f>
        <v>141120</v>
      </c>
      <c r="Z377" s="36">
        <f>IF(NOTA[[#This Row],[JUMLAH]]="","",NOTA[[#This Row],[DISC 1-]]+NOTA[[#This Row],[DISC 2-]])</f>
        <v>544320</v>
      </c>
      <c r="AA377" s="36">
        <f>IF(NOTA[[#This Row],[JUMLAH]]="","",NOTA[[#This Row],[JUMLAH]]-NOTA[[#This Row],[DISC]])</f>
        <v>2681280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77" s="36">
        <f>IF(OR(NOTA[[#This Row],[QTY]]="",NOTA[[#This Row],[HARGA SATUAN]]="",),"",NOTA[[#This Row],[QTY]]*NOTA[[#This Row],[HARGA SATUAN]])</f>
        <v>3225600</v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ATALI MAKMUR</v>
      </c>
      <c r="AH377" s="16" t="str">
        <f ca="1">IF(NOTA[[#This Row],[ID]]="","",COUNTIF(NOTA[ID_H],NOTA[[#This Row],[ID_H]]))</f>
        <v/>
      </c>
      <c r="AI377" s="16">
        <f ca="1"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82</v>
      </c>
      <c r="E378" s="32"/>
      <c r="F378" s="31"/>
      <c r="G378" s="31"/>
      <c r="H378" s="33"/>
      <c r="I378" s="31"/>
      <c r="J378" s="34"/>
      <c r="K378" s="31"/>
      <c r="L378" s="31" t="s">
        <v>447</v>
      </c>
      <c r="M378" s="35">
        <v>1</v>
      </c>
      <c r="N378" s="31">
        <v>60</v>
      </c>
      <c r="O378" s="31" t="s">
        <v>287</v>
      </c>
      <c r="P378" s="30">
        <v>22200</v>
      </c>
      <c r="Q378" s="103"/>
      <c r="R378" s="35"/>
      <c r="S378" s="37">
        <v>0.125</v>
      </c>
      <c r="T378" s="37">
        <v>0.05</v>
      </c>
      <c r="U378" s="36"/>
      <c r="V378" s="87"/>
      <c r="W378" s="36">
        <f>IF(NOTA[[#This Row],[HARGA/ CTN]]="",NOTA[[#This Row],[JUMLAH_H]],NOTA[[#This Row],[HARGA/ CTN]]*NOTA[[#This Row],[C]])</f>
        <v>1332000</v>
      </c>
      <c r="X378" s="36">
        <f>IF(NOTA[[#This Row],[JUMLAH]]="","",NOTA[[#This Row],[JUMLAH]]*NOTA[[#This Row],[DISC 1]])</f>
        <v>166500</v>
      </c>
      <c r="Y378" s="36">
        <f>IF(NOTA[[#This Row],[JUMLAH]]="","",(NOTA[[#This Row],[JUMLAH]]-NOTA[[#This Row],[DISC 1-]])*NOTA[[#This Row],[DISC 2]])</f>
        <v>58275</v>
      </c>
      <c r="Z378" s="36">
        <f>IF(NOTA[[#This Row],[JUMLAH]]="","",NOTA[[#This Row],[DISC 1-]]+NOTA[[#This Row],[DISC 2-]])</f>
        <v>224775</v>
      </c>
      <c r="AA378" s="36">
        <f>IF(NOTA[[#This Row],[JUMLAH]]="","",NOTA[[#This Row],[JUMLAH]]-NOTA[[#This Row],[DISC]])</f>
        <v>1107225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378" s="36">
        <f>IF(OR(NOTA[[#This Row],[QTY]]="",NOTA[[#This Row],[HARGA SATUAN]]="",),"",NOTA[[#This Row],[QTY]]*NOTA[[#This Row],[HARGA SATUAN]])</f>
        <v>1332000</v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ATALI MAKMUR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82</v>
      </c>
      <c r="E379" s="32"/>
      <c r="F379" s="31"/>
      <c r="G379" s="31"/>
      <c r="H379" s="33"/>
      <c r="I379" s="31"/>
      <c r="J379" s="34"/>
      <c r="K379" s="31"/>
      <c r="L379" s="31" t="s">
        <v>539</v>
      </c>
      <c r="M379" s="35">
        <v>2</v>
      </c>
      <c r="N379" s="31">
        <v>100</v>
      </c>
      <c r="O379" s="31" t="s">
        <v>287</v>
      </c>
      <c r="P379" s="30">
        <v>32000</v>
      </c>
      <c r="Q379" s="103"/>
      <c r="R379" s="35"/>
      <c r="S379" s="37">
        <v>0.125</v>
      </c>
      <c r="T379" s="37">
        <v>0.05</v>
      </c>
      <c r="U379" s="36"/>
      <c r="V379" s="87"/>
      <c r="W379" s="36">
        <f>IF(NOTA[[#This Row],[HARGA/ CTN]]="",NOTA[[#This Row],[JUMLAH_H]],NOTA[[#This Row],[HARGA/ CTN]]*NOTA[[#This Row],[C]])</f>
        <v>3200000</v>
      </c>
      <c r="X379" s="36">
        <f>IF(NOTA[[#This Row],[JUMLAH]]="","",NOTA[[#This Row],[JUMLAH]]*NOTA[[#This Row],[DISC 1]])</f>
        <v>400000</v>
      </c>
      <c r="Y379" s="36">
        <f>IF(NOTA[[#This Row],[JUMLAH]]="","",(NOTA[[#This Row],[JUMLAH]]-NOTA[[#This Row],[DISC 1-]])*NOTA[[#This Row],[DISC 2]])</f>
        <v>140000</v>
      </c>
      <c r="Z379" s="36">
        <f>IF(NOTA[[#This Row],[JUMLAH]]="","",NOTA[[#This Row],[DISC 1-]]+NOTA[[#This Row],[DISC 2-]])</f>
        <v>540000</v>
      </c>
      <c r="AA379" s="36">
        <f>IF(NOTA[[#This Row],[JUMLAH]]="","",NOTA[[#This Row],[JUMLAH]]-NOTA[[#This Row],[DISC]])</f>
        <v>2660000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79" s="36">
        <f>IF(OR(NOTA[[#This Row],[QTY]]="",NOTA[[#This Row],[HARGA SATUAN]]="",),"",NOTA[[#This Row],[QTY]]*NOTA[[#This Row],[HARGA SATUAN]])</f>
        <v>3200000</v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ATALI MAKMUR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82</v>
      </c>
      <c r="E380" s="32"/>
      <c r="F380" s="31"/>
      <c r="G380" s="31"/>
      <c r="H380" s="33"/>
      <c r="I380" s="31"/>
      <c r="J380" s="34"/>
      <c r="K380" s="31"/>
      <c r="L380" s="31" t="s">
        <v>540</v>
      </c>
      <c r="M380" s="35">
        <v>2</v>
      </c>
      <c r="N380" s="31">
        <v>100</v>
      </c>
      <c r="O380" s="31" t="s">
        <v>287</v>
      </c>
      <c r="P380" s="30">
        <v>34100</v>
      </c>
      <c r="Q380" s="103"/>
      <c r="R380" s="35"/>
      <c r="S380" s="37">
        <v>0.125</v>
      </c>
      <c r="T380" s="37">
        <v>0.05</v>
      </c>
      <c r="U380" s="36"/>
      <c r="V380" s="87"/>
      <c r="W380" s="36">
        <f>IF(NOTA[[#This Row],[HARGA/ CTN]]="",NOTA[[#This Row],[JUMLAH_H]],NOTA[[#This Row],[HARGA/ CTN]]*NOTA[[#This Row],[C]])</f>
        <v>3410000</v>
      </c>
      <c r="X380" s="36">
        <f>IF(NOTA[[#This Row],[JUMLAH]]="","",NOTA[[#This Row],[JUMLAH]]*NOTA[[#This Row],[DISC 1]])</f>
        <v>426250</v>
      </c>
      <c r="Y380" s="36">
        <f>IF(NOTA[[#This Row],[JUMLAH]]="","",(NOTA[[#This Row],[JUMLAH]]-NOTA[[#This Row],[DISC 1-]])*NOTA[[#This Row],[DISC 2]])</f>
        <v>149187.5</v>
      </c>
      <c r="Z380" s="36">
        <f>IF(NOTA[[#This Row],[JUMLAH]]="","",NOTA[[#This Row],[DISC 1-]]+NOTA[[#This Row],[DISC 2-]])</f>
        <v>575437.5</v>
      </c>
      <c r="AA380" s="36">
        <f>IF(NOTA[[#This Row],[JUMLAH]]="","",NOTA[[#This Row],[JUMLAH]]-NOTA[[#This Row],[DISC]])</f>
        <v>2834562.5</v>
      </c>
      <c r="AB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3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36">
        <f>IF(OR(NOTA[[#This Row],[QTY]]="",NOTA[[#This Row],[HARGA SATUAN]]="",),"",NOTA[[#This Row],[QTY]]*NOTA[[#This Row],[HARGA SATUAN]])</f>
        <v>3410000</v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ATALI MAKMUR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 t="str">
        <f ca="1">IF(NOTA[[#This Row],[NAMA BARANG]]="","",INDEX(NOTA[ID],MATCH(,INDIRECT(ADDRESS(ROW(NOTA[ID]),COLUMN(NOTA[ID]))&amp;":"&amp;ADDRESS(ROW(),COLUMN(NOTA[ID]))),-1)))</f>
        <v/>
      </c>
      <c r="E381" s="32"/>
      <c r="F381" s="31"/>
      <c r="G381" s="31"/>
      <c r="H381" s="33"/>
      <c r="I381" s="31"/>
      <c r="J381" s="34"/>
      <c r="K381" s="31"/>
      <c r="L381" s="31"/>
      <c r="M381" s="35"/>
      <c r="N381" s="31"/>
      <c r="O381" s="31"/>
      <c r="P381" s="30"/>
      <c r="Q381" s="103"/>
      <c r="R381" s="35"/>
      <c r="S381" s="37"/>
      <c r="T381" s="37"/>
      <c r="U381" s="36"/>
      <c r="V381" s="87"/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6" t="str">
        <f>IF(OR(NOTA[[#This Row],[QTY]]="",NOTA[[#This Row],[HARGA SATUAN]]="",),"",NOTA[[#This Row],[QTY]]*NOTA[[#This Row],[HARGA SATUAN]])</f>
        <v/>
      </c>
      <c r="AF381" s="34" t="str">
        <f ca="1">IF(NOTA[ID_H]="","",INDEX(NOTA[TANGGAL],MATCH(,INDIRECT(ADDRESS(ROW(NOTA[TANGGAL]),COLUMN(NOTA[TANGGAL]))&amp;":"&amp;ADDRESS(ROW(),COLUMN(NOTA[TANGGAL]))),-1)))</f>
        <v/>
      </c>
      <c r="AG381" s="30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 t="str">
        <f ca="1">IF(NOTA[[#This Row],[TGL.NOTA]]="",IF(NOTA[[#This Row],[SUPPLIER_H]]="","",AI380),MONTH(NOTA[[#This Row],[TGL.NOTA]]))</f>
        <v/>
      </c>
      <c r="AJ381" s="16"/>
    </row>
    <row r="382" spans="1:36" ht="20.100000000000001" customHeight="1" x14ac:dyDescent="0.25">
      <c r="A382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8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382" s="39" t="e">
        <f ca="1">IF(NOTA[[#This Row],[ID_P]]="","",MATCH(NOTA[[#This Row],[ID_P]],[1]!B_MSK[N_ID],0))</f>
        <v>#REF!</v>
      </c>
      <c r="D382" s="39">
        <f ca="1">IF(NOTA[[#This Row],[NAMA BARANG]]="","",INDEX(NOTA[ID],MATCH(,INDIRECT(ADDRESS(ROW(NOTA[ID]),COLUMN(NOTA[ID]))&amp;":"&amp;ADDRESS(ROW(),COLUMN(NOTA[ID]))),-1)))</f>
        <v>83</v>
      </c>
      <c r="E382" s="32"/>
      <c r="F382" s="31" t="s">
        <v>25</v>
      </c>
      <c r="G382" s="31" t="s">
        <v>24</v>
      </c>
      <c r="H382" s="33" t="s">
        <v>585</v>
      </c>
      <c r="I382" s="31"/>
      <c r="J382" s="34">
        <v>44853</v>
      </c>
      <c r="K382" s="31"/>
      <c r="L382" s="31" t="s">
        <v>605</v>
      </c>
      <c r="M382" s="35">
        <v>10</v>
      </c>
      <c r="N382" s="31">
        <v>480</v>
      </c>
      <c r="O382" s="31" t="s">
        <v>210</v>
      </c>
      <c r="P382" s="30">
        <v>36000</v>
      </c>
      <c r="Q382" s="103"/>
      <c r="R382" s="35"/>
      <c r="S382" s="37">
        <v>0.125</v>
      </c>
      <c r="T382" s="37">
        <v>0.05</v>
      </c>
      <c r="U382" s="36"/>
      <c r="V382" s="87"/>
      <c r="W382" s="36">
        <f>IF(NOTA[[#This Row],[HARGA/ CTN]]="",NOTA[[#This Row],[JUMLAH_H]],NOTA[[#This Row],[HARGA/ CTN]]*NOTA[[#This Row],[C]])</f>
        <v>17280000</v>
      </c>
      <c r="X382" s="36">
        <f>IF(NOTA[[#This Row],[JUMLAH]]="","",NOTA[[#This Row],[JUMLAH]]*NOTA[[#This Row],[DISC 1]])</f>
        <v>2160000</v>
      </c>
      <c r="Y382" s="36">
        <f>IF(NOTA[[#This Row],[JUMLAH]]="","",(NOTA[[#This Row],[JUMLAH]]-NOTA[[#This Row],[DISC 1-]])*NOTA[[#This Row],[DISC 2]])</f>
        <v>756000</v>
      </c>
      <c r="Z382" s="36">
        <f>IF(NOTA[[#This Row],[JUMLAH]]="","",NOTA[[#This Row],[DISC 1-]]+NOTA[[#This Row],[DISC 2-]])</f>
        <v>2916000</v>
      </c>
      <c r="AA382" s="36">
        <f>IF(NOTA[[#This Row],[JUMLAH]]="","",NOTA[[#This Row],[JUMLAH]]-NOTA[[#This Row],[DISC]])</f>
        <v>14364000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2" s="36">
        <f>IF(OR(NOTA[[#This Row],[QTY]]="",NOTA[[#This Row],[HARGA SATUAN]]="",),"",NOTA[[#This Row],[QTY]]*NOTA[[#This Row],[HARGA SATUAN]])</f>
        <v>17280000</v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ATALI MAKMUR</v>
      </c>
      <c r="AH382" s="16">
        <f ca="1">IF(NOTA[[#This Row],[ID]]="","",COUNTIF(NOTA[ID_H],NOTA[[#This Row],[ID_H]]))</f>
        <v>2</v>
      </c>
      <c r="AI382" s="16">
        <f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83</v>
      </c>
      <c r="E383" s="32"/>
      <c r="F383" s="31"/>
      <c r="G383" s="31"/>
      <c r="H383" s="33"/>
      <c r="I383" s="31"/>
      <c r="J383" s="34"/>
      <c r="K383" s="31"/>
      <c r="L383" s="31" t="s">
        <v>454</v>
      </c>
      <c r="M383" s="35" t="s">
        <v>587</v>
      </c>
      <c r="N383" s="31">
        <v>20</v>
      </c>
      <c r="O383" s="31" t="s">
        <v>210</v>
      </c>
      <c r="P383" s="30">
        <v>12600</v>
      </c>
      <c r="Q383" s="103"/>
      <c r="R383" s="35"/>
      <c r="S383" s="37">
        <v>0.1</v>
      </c>
      <c r="T383" s="37">
        <v>0.05</v>
      </c>
      <c r="U383" s="36">
        <v>215460</v>
      </c>
      <c r="V383" s="87" t="s">
        <v>581</v>
      </c>
      <c r="W383" s="36">
        <f>IF(NOTA[[#This Row],[HARGA/ CTN]]="",NOTA[[#This Row],[JUMLAH_H]],NOTA[[#This Row],[HARGA/ CTN]]*NOTA[[#This Row],[C]])</f>
        <v>252000</v>
      </c>
      <c r="X383" s="36">
        <f>IF(NOTA[[#This Row],[JUMLAH]]="","",NOTA[[#This Row],[JUMLAH]]*NOTA[[#This Row],[DISC 1]])</f>
        <v>25200</v>
      </c>
      <c r="Y383" s="36">
        <f>IF(NOTA[[#This Row],[JUMLAH]]="","",(NOTA[[#This Row],[JUMLAH]]-NOTA[[#This Row],[DISC 1-]])*NOTA[[#This Row],[DISC 2]])</f>
        <v>11340</v>
      </c>
      <c r="Z383" s="36">
        <f>IF(NOTA[[#This Row],[JUMLAH]]="","",NOTA[[#This Row],[DISC 1-]]+NOTA[[#This Row],[DISC 2-]])</f>
        <v>36540</v>
      </c>
      <c r="AA383" s="36">
        <f>IF(NOTA[[#This Row],[JUMLAH]]="","",NOTA[[#This Row],[JUMLAH]]-NOTA[[#This Row],[DISC]])</f>
        <v>215460</v>
      </c>
      <c r="AB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3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383" s="36">
        <f>IF(OR(NOTA[[#This Row],[QTY]]="",NOTA[[#This Row],[HARGA SATUAN]]="",),"",NOTA[[#This Row],[QTY]]*NOTA[[#This Row],[HARGA SATUAN]])</f>
        <v>252000</v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ATALI MAKMUR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 t="str">
        <f ca="1">IF(NOTA[[#This Row],[NAMA BARANG]]="","",INDEX(NOTA[ID],MATCH(,INDIRECT(ADDRESS(ROW(NOTA[ID]),COLUMN(NOTA[ID]))&amp;":"&amp;ADDRESS(ROW(),COLUMN(NOTA[ID]))),-1)))</f>
        <v/>
      </c>
      <c r="E384" s="32"/>
      <c r="F384" s="31"/>
      <c r="G384" s="31"/>
      <c r="H384" s="33"/>
      <c r="I384" s="31"/>
      <c r="J384" s="34"/>
      <c r="K384" s="31"/>
      <c r="L384" s="31"/>
      <c r="M384" s="35"/>
      <c r="N384" s="31"/>
      <c r="O384" s="31"/>
      <c r="P384" s="30"/>
      <c r="Q384" s="103"/>
      <c r="R384" s="35"/>
      <c r="S384" s="37"/>
      <c r="T384" s="37"/>
      <c r="U384" s="36"/>
      <c r="V384" s="87"/>
      <c r="W384" s="36" t="str">
        <f>IF(NOTA[[#This Row],[HARGA/ CTN]]="",NOTA[[#This Row],[JUMLAH_H]],NOTA[[#This Row],[HARGA/ CTN]]*NOTA[[#This Row],[C]])</f>
        <v/>
      </c>
      <c r="X384" s="36" t="str">
        <f>IF(NOTA[[#This Row],[JUMLAH]]="","",NOTA[[#This Row],[JUMLAH]]*NOTA[[#This Row],[DISC 1]])</f>
        <v/>
      </c>
      <c r="Y384" s="36" t="str">
        <f>IF(NOTA[[#This Row],[JUMLAH]]="","",(NOTA[[#This Row],[JUMLAH]]-NOTA[[#This Row],[DISC 1-]])*NOTA[[#This Row],[DISC 2]])</f>
        <v/>
      </c>
      <c r="Z384" s="36" t="str">
        <f>IF(NOTA[[#This Row],[JUMLAH]]="","",NOTA[[#This Row],[DISC 1-]]+NOTA[[#This Row],[DISC 2-]])</f>
        <v/>
      </c>
      <c r="AA384" s="36" t="str">
        <f>IF(NOTA[[#This Row],[JUMLAH]]="","",NOTA[[#This Row],[JUMLAH]]-NOTA[[#This Row],[DISC]])</f>
        <v/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36" t="str">
        <f>IF(OR(NOTA[[#This Row],[QTY]]="",NOTA[[#This Row],[HARGA SATUAN]]="",),"",NOTA[[#This Row],[QTY]]*NOTA[[#This Row],[HARGA SATUAN]])</f>
        <v/>
      </c>
      <c r="AF384" s="34" t="str">
        <f ca="1">IF(NOTA[ID_H]="","",INDEX(NOTA[TANGGAL],MATCH(,INDIRECT(ADDRESS(ROW(NOTA[TANGGAL]),COLUMN(NOTA[TANGGAL]))&amp;":"&amp;ADDRESS(ROW(),COLUMN(NOTA[TANGGAL]))),-1)))</f>
        <v/>
      </c>
      <c r="AG384" s="30" t="str">
        <f ca="1">IF(NOTA[[#This Row],[NAMA BARANG]]="","",INDEX(NOTA[SUPPLIER],MATCH(,INDIRECT(ADDRESS(ROW(NOTA[ID]),COLUMN(NOTA[ID]))&amp;":"&amp;ADDRESS(ROW(),COLUMN(NOTA[ID]))),-1)))</f>
        <v/>
      </c>
      <c r="AH384" s="16" t="str">
        <f ca="1">IF(NOTA[[#This Row],[ID]]="","",COUNTIF(NOTA[ID_H],NOTA[[#This Row],[ID_H]]))</f>
        <v/>
      </c>
      <c r="AI384" s="16" t="str">
        <f ca="1">IF(NOTA[[#This Row],[TGL.NOTA]]="",IF(NOTA[[#This Row],[SUPPLIER_H]]="","",AI383),MONTH(NOTA[[#This Row],[TGL.NOTA]]))</f>
        <v/>
      </c>
      <c r="AJ384" s="16"/>
    </row>
    <row r="385" spans="1:36" ht="20.100000000000001" customHeight="1" x14ac:dyDescent="0.25">
      <c r="A385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8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385" s="39" t="e">
        <f ca="1">IF(NOTA[[#This Row],[ID_P]]="","",MATCH(NOTA[[#This Row],[ID_P]],[1]!B_MSK[N_ID],0))</f>
        <v>#REF!</v>
      </c>
      <c r="D385" s="39">
        <f ca="1">IF(NOTA[[#This Row],[NAMA BARANG]]="","",INDEX(NOTA[ID],MATCH(,INDIRECT(ADDRESS(ROW(NOTA[ID]),COLUMN(NOTA[ID]))&amp;":"&amp;ADDRESS(ROW(),COLUMN(NOTA[ID]))),-1)))</f>
        <v>84</v>
      </c>
      <c r="E385" s="32"/>
      <c r="F385" s="31" t="s">
        <v>25</v>
      </c>
      <c r="G385" s="31" t="s">
        <v>24</v>
      </c>
      <c r="H385" s="33" t="s">
        <v>586</v>
      </c>
      <c r="I385" s="31"/>
      <c r="J385" s="34">
        <v>44854</v>
      </c>
      <c r="K385" s="31"/>
      <c r="L385" s="31" t="s">
        <v>606</v>
      </c>
      <c r="M385" s="35">
        <v>1</v>
      </c>
      <c r="N385" s="31">
        <v>36</v>
      </c>
      <c r="O385" s="31" t="s">
        <v>210</v>
      </c>
      <c r="P385" s="30">
        <v>41400</v>
      </c>
      <c r="Q385" s="103"/>
      <c r="R385" s="35"/>
      <c r="S385" s="37">
        <v>0.125</v>
      </c>
      <c r="T385" s="37">
        <v>0.05</v>
      </c>
      <c r="U385" s="36"/>
      <c r="V385" s="87"/>
      <c r="W385" s="36">
        <f>IF(NOTA[[#This Row],[HARGA/ CTN]]="",NOTA[[#This Row],[JUMLAH_H]],NOTA[[#This Row],[HARGA/ CTN]]*NOTA[[#This Row],[C]])</f>
        <v>1490400</v>
      </c>
      <c r="X385" s="36">
        <f>IF(NOTA[[#This Row],[JUMLAH]]="","",NOTA[[#This Row],[JUMLAH]]*NOTA[[#This Row],[DISC 1]])</f>
        <v>186300</v>
      </c>
      <c r="Y385" s="36">
        <f>IF(NOTA[[#This Row],[JUMLAH]]="","",(NOTA[[#This Row],[JUMLAH]]-NOTA[[#This Row],[DISC 1-]])*NOTA[[#This Row],[DISC 2]])</f>
        <v>65205</v>
      </c>
      <c r="Z385" s="36">
        <f>IF(NOTA[[#This Row],[JUMLAH]]="","",NOTA[[#This Row],[DISC 1-]]+NOTA[[#This Row],[DISC 2-]])</f>
        <v>251505</v>
      </c>
      <c r="AA385" s="36">
        <f>IF(NOTA[[#This Row],[JUMLAH]]="","",NOTA[[#This Row],[JUMLAH]]-NOTA[[#This Row],[DISC]])</f>
        <v>1238895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85" s="36">
        <f>IF(OR(NOTA[[#This Row],[QTY]]="",NOTA[[#This Row],[HARGA SATUAN]]="",),"",NOTA[[#This Row],[QTY]]*NOTA[[#This Row],[HARGA SATUAN]])</f>
        <v>1490400</v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ATALI MAKMUR</v>
      </c>
      <c r="AH385" s="16">
        <f ca="1">IF(NOTA[[#This Row],[ID]]="","",COUNTIF(NOTA[ID_H],NOTA[[#This Row],[ID_H]]))</f>
        <v>3</v>
      </c>
      <c r="AI385" s="16">
        <f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84</v>
      </c>
      <c r="E386" s="32"/>
      <c r="F386" s="31"/>
      <c r="G386" s="31"/>
      <c r="H386" s="33"/>
      <c r="I386" s="31"/>
      <c r="J386" s="34"/>
      <c r="K386" s="31"/>
      <c r="L386" s="31" t="s">
        <v>607</v>
      </c>
      <c r="M386" s="35">
        <v>2</v>
      </c>
      <c r="N386" s="31">
        <v>288</v>
      </c>
      <c r="O386" s="31" t="s">
        <v>210</v>
      </c>
      <c r="P386" s="30">
        <v>14100</v>
      </c>
      <c r="Q386" s="103"/>
      <c r="R386" s="35"/>
      <c r="S386" s="37">
        <v>0.125</v>
      </c>
      <c r="T386" s="37">
        <v>0.05</v>
      </c>
      <c r="U386" s="36"/>
      <c r="V386" s="87"/>
      <c r="W386" s="36">
        <f>IF(NOTA[[#This Row],[HARGA/ CTN]]="",NOTA[[#This Row],[JUMLAH_H]],NOTA[[#This Row],[HARGA/ CTN]]*NOTA[[#This Row],[C]])</f>
        <v>4060800</v>
      </c>
      <c r="X386" s="36">
        <f>IF(NOTA[[#This Row],[JUMLAH]]="","",NOTA[[#This Row],[JUMLAH]]*NOTA[[#This Row],[DISC 1]])</f>
        <v>507600</v>
      </c>
      <c r="Y386" s="36">
        <f>IF(NOTA[[#This Row],[JUMLAH]]="","",(NOTA[[#This Row],[JUMLAH]]-NOTA[[#This Row],[DISC 1-]])*NOTA[[#This Row],[DISC 2]])</f>
        <v>177660</v>
      </c>
      <c r="Z386" s="36">
        <f>IF(NOTA[[#This Row],[JUMLAH]]="","",NOTA[[#This Row],[DISC 1-]]+NOTA[[#This Row],[DISC 2-]])</f>
        <v>685260</v>
      </c>
      <c r="AA386" s="36">
        <f>IF(NOTA[[#This Row],[JUMLAH]]="","",NOTA[[#This Row],[JUMLAH]]-NOTA[[#This Row],[DISC]])</f>
        <v>3375540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86" s="36">
        <f>IF(OR(NOTA[[#This Row],[QTY]]="",NOTA[[#This Row],[HARGA SATUAN]]="",),"",NOTA[[#This Row],[QTY]]*NOTA[[#This Row],[HARGA SATUAN]])</f>
        <v>4060800</v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ATALI MAKMUR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84</v>
      </c>
      <c r="E387" s="32"/>
      <c r="F387" s="31"/>
      <c r="G387" s="31"/>
      <c r="H387" s="33"/>
      <c r="I387" s="31"/>
      <c r="J387" s="34"/>
      <c r="K387" s="31"/>
      <c r="L387" s="31" t="s">
        <v>475</v>
      </c>
      <c r="M387" s="35">
        <v>5</v>
      </c>
      <c r="N387" s="31">
        <v>150</v>
      </c>
      <c r="O387" s="31" t="s">
        <v>220</v>
      </c>
      <c r="P387" s="30">
        <v>104400</v>
      </c>
      <c r="Q387" s="103"/>
      <c r="R387" s="35"/>
      <c r="S387" s="37">
        <v>0.125</v>
      </c>
      <c r="T387" s="37">
        <v>0.05</v>
      </c>
      <c r="U387" s="36"/>
      <c r="V387" s="87"/>
      <c r="W387" s="36">
        <f>IF(NOTA[[#This Row],[HARGA/ CTN]]="",NOTA[[#This Row],[JUMLAH_H]],NOTA[[#This Row],[HARGA/ CTN]]*NOTA[[#This Row],[C]])</f>
        <v>15660000</v>
      </c>
      <c r="X387" s="36">
        <f>IF(NOTA[[#This Row],[JUMLAH]]="","",NOTA[[#This Row],[JUMLAH]]*NOTA[[#This Row],[DISC 1]])</f>
        <v>1957500</v>
      </c>
      <c r="Y387" s="36">
        <f>IF(NOTA[[#This Row],[JUMLAH]]="","",(NOTA[[#This Row],[JUMLAH]]-NOTA[[#This Row],[DISC 1-]])*NOTA[[#This Row],[DISC 2]])</f>
        <v>685125</v>
      </c>
      <c r="Z387" s="36">
        <f>IF(NOTA[[#This Row],[JUMLAH]]="","",NOTA[[#This Row],[DISC 1-]]+NOTA[[#This Row],[DISC 2-]])</f>
        <v>2642625</v>
      </c>
      <c r="AA387" s="36">
        <f>IF(NOTA[[#This Row],[JUMLAH]]="","",NOTA[[#This Row],[JUMLAH]]-NOTA[[#This Row],[DISC]])</f>
        <v>13017375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7" s="36">
        <f>IF(OR(NOTA[[#This Row],[QTY]]="",NOTA[[#This Row],[HARGA SATUAN]]="",),"",NOTA[[#This Row],[QTY]]*NOTA[[#This Row],[HARGA SATUAN]])</f>
        <v>15660000</v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ATALI MAKMUR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32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85</v>
      </c>
      <c r="E389" s="32">
        <v>44858</v>
      </c>
      <c r="F389" s="31" t="s">
        <v>52</v>
      </c>
      <c r="G389" s="31" t="s">
        <v>24</v>
      </c>
      <c r="H389" s="33" t="s">
        <v>535</v>
      </c>
      <c r="I389" s="31"/>
      <c r="J389" s="34">
        <v>44855</v>
      </c>
      <c r="K389" s="31"/>
      <c r="L389" s="31" t="s">
        <v>536</v>
      </c>
      <c r="M389" s="35">
        <v>1</v>
      </c>
      <c r="N389" s="31">
        <v>60</v>
      </c>
      <c r="O389" s="31" t="s">
        <v>88</v>
      </c>
      <c r="P389" s="30">
        <v>74000</v>
      </c>
      <c r="Q389" s="103"/>
      <c r="R389" s="35" t="s">
        <v>459</v>
      </c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4440000</v>
      </c>
      <c r="X389" s="36">
        <f>IF(NOTA[[#This Row],[JUMLAH]]="","",NOTA[[#This Row],[JUMLAH]]*NOTA[[#This Row],[DISC 1]])</f>
        <v>555000</v>
      </c>
      <c r="Y389" s="36">
        <f>IF(NOTA[[#This Row],[JUMLAH]]="","",(NOTA[[#This Row],[JUMLAH]]-NOTA[[#This Row],[DISC 1-]])*NOTA[[#This Row],[DISC 2]])</f>
        <v>194250</v>
      </c>
      <c r="Z389" s="36">
        <f>IF(NOTA[[#This Row],[JUMLAH]]="","",NOTA[[#This Row],[DISC 1-]]+NOTA[[#This Row],[DISC 2-]])</f>
        <v>749250</v>
      </c>
      <c r="AA389" s="36">
        <f>IF(NOTA[[#This Row],[JUMLAH]]="","",NOTA[[#This Row],[JUMLAH]]-NOTA[[#This Row],[DISC]])</f>
        <v>3690750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389" s="36">
        <f>IF(OR(NOTA[[#This Row],[QTY]]="",NOTA[[#This Row],[HARGA SATUAN]]="",),"",NOTA[[#This Row],[QTY]]*NOTA[[#This Row],[HARGA SATUAN]])</f>
        <v>4440000</v>
      </c>
      <c r="AF389" s="34">
        <f ca="1">IF(NOTA[ID_H]="","",INDEX(NOTA[TANGGAL],MATCH(,INDIRECT(ADDRESS(ROW(NOTA[TANGGAL]),COLUMN(NOTA[TANGGAL]))&amp;":"&amp;ADDRESS(ROW(),COLUMN(NOTA[TANGGAL]))),-1)))</f>
        <v>44858</v>
      </c>
      <c r="AG389" s="38" t="str">
        <f ca="1">IF(NOTA[[#This Row],[NAMA BARANG]]="","",INDEX(NOTA[SUPPLIER],MATCH(,INDIRECT(ADDRESS(ROW(NOTA[ID]),COLUMN(NOTA[ID]))&amp;":"&amp;ADDRESS(ROW(),COLUMN(NOTA[ID]))),-1)))</f>
        <v>KALINDO SUKSES</v>
      </c>
      <c r="AH389" s="16">
        <f ca="1">IF(NOTA[[#This Row],[ID]]="","",COUNTIF(NOTA[ID_H],NOTA[[#This Row],[ID_H]]))</f>
        <v>2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85</v>
      </c>
      <c r="E390" s="32"/>
      <c r="F390" s="31"/>
      <c r="G390" s="31"/>
      <c r="H390" s="33"/>
      <c r="I390" s="31"/>
      <c r="J390" s="34"/>
      <c r="K390" s="31"/>
      <c r="L390" s="31" t="s">
        <v>460</v>
      </c>
      <c r="M390" s="35">
        <v>1</v>
      </c>
      <c r="N390" s="31">
        <v>120</v>
      </c>
      <c r="O390" s="31" t="s">
        <v>88</v>
      </c>
      <c r="P390" s="30">
        <v>47000</v>
      </c>
      <c r="Q390" s="103"/>
      <c r="R390" s="35" t="s">
        <v>402</v>
      </c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5640000</v>
      </c>
      <c r="X390" s="36">
        <f>IF(NOTA[[#This Row],[JUMLAH]]="","",NOTA[[#This Row],[JUMLAH]]*NOTA[[#This Row],[DISC 1]])</f>
        <v>705000</v>
      </c>
      <c r="Y390" s="36">
        <f>IF(NOTA[[#This Row],[JUMLAH]]="","",(NOTA[[#This Row],[JUMLAH]]-NOTA[[#This Row],[DISC 1-]])*NOTA[[#This Row],[DISC 2]])</f>
        <v>246750</v>
      </c>
      <c r="Z390" s="36">
        <f>IF(NOTA[[#This Row],[JUMLAH]]="","",NOTA[[#This Row],[DISC 1-]]+NOTA[[#This Row],[DISC 2-]])</f>
        <v>951750</v>
      </c>
      <c r="AA390" s="36">
        <f>IF(NOTA[[#This Row],[JUMLAH]]="","",NOTA[[#This Row],[JUMLAH]]-NOTA[[#This Row],[DISC]])</f>
        <v>4688250</v>
      </c>
      <c r="AB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3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390" s="36">
        <f>IF(OR(NOTA[[#This Row],[QTY]]="",NOTA[[#This Row],[HARGA SATUAN]]="",),"",NOTA[[#This Row],[QTY]]*NOTA[[#This Row],[HARGA SATUAN]])</f>
        <v>5640000</v>
      </c>
      <c r="AF390" s="34">
        <f ca="1">IF(NOTA[ID_H]="","",INDEX(NOTA[TANGGAL],MATCH(,INDIRECT(ADDRESS(ROW(NOTA[TANGGAL]),COLUMN(NOTA[TANGGAL]))&amp;":"&amp;ADDRESS(ROW(),COLUMN(NOTA[TANGGAL]))),-1)))</f>
        <v>44858</v>
      </c>
      <c r="AG390" s="38" t="str">
        <f ca="1">IF(NOTA[[#This Row],[NAMA BARANG]]="","",INDEX(NOTA[SUPPLIER],MATCH(,INDIRECT(ADDRESS(ROW(NOTA[ID]),COLUMN(NOTA[ID]))&amp;":"&amp;ADDRESS(ROW(),COLUMN(NOTA[ID]))),-1)))</f>
        <v>KALINDO SUKSES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 t="str">
        <f ca="1">IF(NOTA[[#This Row],[NAMA BARANG]]="","",INDEX(NOTA[ID],MATCH(,INDIRECT(ADDRESS(ROW(NOTA[ID]),COLUMN(NOTA[ID]))&amp;":"&amp;ADDRESS(ROW(),COLUMN(NOTA[ID]))),-1)))</f>
        <v/>
      </c>
      <c r="E391" s="32"/>
      <c r="F391" s="31"/>
      <c r="G391" s="31"/>
      <c r="H391" s="33"/>
      <c r="I391" s="31"/>
      <c r="J391" s="34"/>
      <c r="K391" s="31"/>
      <c r="L391" s="31"/>
      <c r="M391" s="35"/>
      <c r="N391" s="31"/>
      <c r="O391" s="31"/>
      <c r="P391" s="30"/>
      <c r="Q391" s="103"/>
      <c r="R391" s="35"/>
      <c r="S391" s="37"/>
      <c r="T391" s="37"/>
      <c r="U391" s="36"/>
      <c r="V391" s="87"/>
      <c r="W391" s="36" t="str">
        <f>IF(NOTA[[#This Row],[HARGA/ CTN]]="",NOTA[[#This Row],[JUMLAH_H]],NOTA[[#This Row],[HARGA/ CTN]]*NOTA[[#This Row],[C]])</f>
        <v/>
      </c>
      <c r="X391" s="36" t="str">
        <f>IF(NOTA[[#This Row],[JUMLAH]]="","",NOTA[[#This Row],[JUMLAH]]*NOTA[[#This Row],[DISC 1]])</f>
        <v/>
      </c>
      <c r="Y391" s="36" t="str">
        <f>IF(NOTA[[#This Row],[JUMLAH]]="","",(NOTA[[#This Row],[JUMLAH]]-NOTA[[#This Row],[DISC 1-]])*NOTA[[#This Row],[DISC 2]])</f>
        <v/>
      </c>
      <c r="Z391" s="36" t="str">
        <f>IF(NOTA[[#This Row],[JUMLAH]]="","",NOTA[[#This Row],[DISC 1-]]+NOTA[[#This Row],[DISC 2-]])</f>
        <v/>
      </c>
      <c r="AA391" s="36" t="str">
        <f>IF(NOTA[[#This Row],[JUMLAH]]="","",NOTA[[#This Row],[JUMLAH]]-NOTA[[#This Row],[DISC]])</f>
        <v/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36" t="str">
        <f>IF(OR(NOTA[[#This Row],[QTY]]="",NOTA[[#This Row],[HARGA SATUAN]]="",),"",NOTA[[#This Row],[QTY]]*NOTA[[#This Row],[HARGA SATUAN]])</f>
        <v/>
      </c>
      <c r="AF391" s="34" t="str">
        <f ca="1">IF(NOTA[ID_H]="","",INDEX(NOTA[TANGGAL],MATCH(,INDIRECT(ADDRESS(ROW(NOTA[TANGGAL]),COLUMN(NOTA[TANGGAL]))&amp;":"&amp;ADDRESS(ROW(),COLUMN(NOTA[TANGGAL]))),-1)))</f>
        <v/>
      </c>
      <c r="AG391" s="38" t="str">
        <f ca="1">IF(NOTA[[#This Row],[NAMA BARANG]]="","",INDEX(NOTA[SUPPLIER],MATCH(,INDIRECT(ADDRESS(ROW(NOTA[ID]),COLUMN(NOTA[ID]))&amp;":"&amp;ADDRESS(ROW(),COLUMN(NOTA[ID]))),-1)))</f>
        <v/>
      </c>
      <c r="AH391" s="16" t="str">
        <f ca="1">IF(NOTA[[#This Row],[ID]]="","",COUNTIF(NOTA[ID_H],NOTA[[#This Row],[ID_H]]))</f>
        <v/>
      </c>
      <c r="AI391" s="16" t="str">
        <f ca="1">IF(NOTA[[#This Row],[TGL.NOTA]]="",IF(NOTA[[#This Row],[SUPPLIER_H]]="","",AI390),MONTH(NOTA[[#This Row],[TGL.NOTA]]))</f>
        <v/>
      </c>
      <c r="AJ391" s="16"/>
    </row>
    <row r="392" spans="1:36" ht="20.100000000000001" customHeight="1" x14ac:dyDescent="0.25">
      <c r="A392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392" s="39" t="e">
        <f ca="1">IF(NOTA[[#This Row],[ID_P]]="","",MATCH(NOTA[[#This Row],[ID_P]],[1]!B_MSK[N_ID],0))</f>
        <v>#REF!</v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 t="s">
        <v>25</v>
      </c>
      <c r="G392" s="31" t="s">
        <v>24</v>
      </c>
      <c r="H392" s="33" t="s">
        <v>537</v>
      </c>
      <c r="I392" s="31"/>
      <c r="J392" s="34">
        <v>44855</v>
      </c>
      <c r="K392" s="31"/>
      <c r="L392" s="31" t="s">
        <v>539</v>
      </c>
      <c r="M392" s="35">
        <v>3</v>
      </c>
      <c r="N392" s="31">
        <v>150</v>
      </c>
      <c r="O392" s="31" t="s">
        <v>287</v>
      </c>
      <c r="P392" s="30">
        <v>32000</v>
      </c>
      <c r="Q392" s="103"/>
      <c r="R392" s="35" t="s">
        <v>538</v>
      </c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4800000</v>
      </c>
      <c r="X392" s="36">
        <f>IF(NOTA[[#This Row],[JUMLAH]]="","",NOTA[[#This Row],[JUMLAH]]*NOTA[[#This Row],[DISC 1]])</f>
        <v>600000</v>
      </c>
      <c r="Y392" s="36">
        <f>IF(NOTA[[#This Row],[JUMLAH]]="","",(NOTA[[#This Row],[JUMLAH]]-NOTA[[#This Row],[DISC 1-]])*NOTA[[#This Row],[DISC 2]])</f>
        <v>210000</v>
      </c>
      <c r="Z392" s="36">
        <f>IF(NOTA[[#This Row],[JUMLAH]]="","",NOTA[[#This Row],[DISC 1-]]+NOTA[[#This Row],[DISC 2-]])</f>
        <v>810000</v>
      </c>
      <c r="AA392" s="36">
        <f>IF(NOTA[[#This Row],[JUMLAH]]="","",NOTA[[#This Row],[JUMLAH]]-NOTA[[#This Row],[DISC]])</f>
        <v>3990000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92" s="36">
        <f>IF(OR(NOTA[[#This Row],[QTY]]="",NOTA[[#This Row],[HARGA SATUAN]]="",),"",NOTA[[#This Row],[QTY]]*NOTA[[#This Row],[HARGA SATUAN]])</f>
        <v>4800000</v>
      </c>
      <c r="AF392" s="34">
        <f ca="1">IF(NOTA[ID_H]="","",INDEX(NOTA[TANGGAL],MATCH(,INDIRECT(ADDRESS(ROW(NOTA[TANGGAL]),COLUMN(NOTA[TANGGAL]))&amp;":"&amp;ADDRESS(ROW(),COLUMN(NOTA[TANGGAL]))),-1)))</f>
        <v>44858</v>
      </c>
      <c r="AG392" s="38" t="str">
        <f ca="1">IF(NOTA[[#This Row],[NAMA BARANG]]="","",INDEX(NOTA[SUPPLIER],MATCH(,INDIRECT(ADDRESS(ROW(NOTA[ID]),COLUMN(NOTA[ID]))&amp;":"&amp;ADDRESS(ROW(),COLUMN(NOTA[ID]))),-1)))</f>
        <v>ATALI MAKMUR</v>
      </c>
      <c r="AH392" s="16">
        <f ca="1">IF(NOTA[[#This Row],[ID]]="","",COUNTIF(NOTA[ID_H],NOTA[[#This Row],[ID_H]]))</f>
        <v>2</v>
      </c>
      <c r="AI392" s="16">
        <f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540</v>
      </c>
      <c r="M393" s="35">
        <v>3</v>
      </c>
      <c r="N393" s="31">
        <v>150</v>
      </c>
      <c r="O393" s="31" t="s">
        <v>287</v>
      </c>
      <c r="P393" s="30">
        <v>34100</v>
      </c>
      <c r="Q393" s="103"/>
      <c r="R393" s="35" t="s">
        <v>345</v>
      </c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5115000</v>
      </c>
      <c r="X393" s="36">
        <f>IF(NOTA[[#This Row],[JUMLAH]]="","",NOTA[[#This Row],[JUMLAH]]*NOTA[[#This Row],[DISC 1]])</f>
        <v>639375</v>
      </c>
      <c r="Y393" s="36">
        <f>IF(NOTA[[#This Row],[JUMLAH]]="","",(NOTA[[#This Row],[JUMLAH]]-NOTA[[#This Row],[DISC 1-]])*NOTA[[#This Row],[DISC 2]])</f>
        <v>223781.25</v>
      </c>
      <c r="Z393" s="36">
        <f>IF(NOTA[[#This Row],[JUMLAH]]="","",NOTA[[#This Row],[DISC 1-]]+NOTA[[#This Row],[DISC 2-]])</f>
        <v>863156.25</v>
      </c>
      <c r="AA393" s="36">
        <f>IF(NOTA[[#This Row],[JUMLAH]]="","",NOTA[[#This Row],[JUMLAH]]-NOTA[[#This Row],[DISC]])</f>
        <v>4251843.75</v>
      </c>
      <c r="AB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3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3" s="36">
        <f>IF(OR(NOTA[[#This Row],[QTY]]="",NOTA[[#This Row],[HARGA SATUAN]]="",),"",NOTA[[#This Row],[QTY]]*NOTA[[#This Row],[HARGA SATUAN]])</f>
        <v>5115000</v>
      </c>
      <c r="AF393" s="34">
        <f ca="1">IF(NOTA[ID_H]="","",INDEX(NOTA[TANGGAL],MATCH(,INDIRECT(ADDRESS(ROW(NOTA[TANGGAL]),COLUMN(NOTA[TANGGAL]))&amp;":"&amp;ADDRESS(ROW(),COLUMN(NOTA[TANGGAL]))),-1)))</f>
        <v>44858</v>
      </c>
      <c r="AG393" s="38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 t="str">
        <f ca="1">IF(NOTA[[#This Row],[NAMA BARANG]]="","",INDEX(NOTA[ID],MATCH(,INDIRECT(ADDRESS(ROW(NOTA[ID]),COLUMN(NOTA[ID]))&amp;":"&amp;ADDRESS(ROW(),COLUMN(NOTA[ID]))),-1)))</f>
        <v/>
      </c>
      <c r="E394" s="32"/>
      <c r="F394" s="31"/>
      <c r="G394" s="31"/>
      <c r="H394" s="33"/>
      <c r="I394" s="31"/>
      <c r="J394" s="34"/>
      <c r="K394" s="31"/>
      <c r="L394" s="31"/>
      <c r="M394" s="35"/>
      <c r="N394" s="31"/>
      <c r="O394" s="31"/>
      <c r="P394" s="30"/>
      <c r="Q394" s="103"/>
      <c r="R394" s="35"/>
      <c r="S394" s="37"/>
      <c r="T394" s="37"/>
      <c r="U394" s="36"/>
      <c r="V394" s="87"/>
      <c r="W394" s="36" t="str">
        <f>IF(NOTA[[#This Row],[HARGA/ CTN]]="",NOTA[[#This Row],[JUMLAH_H]],NOTA[[#This Row],[HARGA/ CTN]]*NOTA[[#This Row],[C]])</f>
        <v/>
      </c>
      <c r="X394" s="36" t="str">
        <f>IF(NOTA[[#This Row],[JUMLAH]]="","",NOTA[[#This Row],[JUMLAH]]*NOTA[[#This Row],[DISC 1]])</f>
        <v/>
      </c>
      <c r="Y394" s="36" t="str">
        <f>IF(NOTA[[#This Row],[JUMLAH]]="","",(NOTA[[#This Row],[JUMLAH]]-NOTA[[#This Row],[DISC 1-]])*NOTA[[#This Row],[DISC 2]])</f>
        <v/>
      </c>
      <c r="Z394" s="36" t="str">
        <f>IF(NOTA[[#This Row],[JUMLAH]]="","",NOTA[[#This Row],[DISC 1-]]+NOTA[[#This Row],[DISC 2-]])</f>
        <v/>
      </c>
      <c r="AA394" s="36" t="str">
        <f>IF(NOTA[[#This Row],[JUMLAH]]="","",NOTA[[#This Row],[JUMLAH]]-NOTA[[#This Row],[DISC]])</f>
        <v/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36" t="str">
        <f>IF(OR(NOTA[[#This Row],[QTY]]="",NOTA[[#This Row],[HARGA SATUAN]]="",),"",NOTA[[#This Row],[QTY]]*NOTA[[#This Row],[HARGA SATUAN]])</f>
        <v/>
      </c>
      <c r="AF394" s="34" t="str">
        <f ca="1">IF(NOTA[ID_H]="","",INDEX(NOTA[TANGGAL],MATCH(,INDIRECT(ADDRESS(ROW(NOTA[TANGGAL]),COLUMN(NOTA[TANGGAL]))&amp;":"&amp;ADDRESS(ROW(),COLUMN(NOTA[TANGGAL]))),-1)))</f>
        <v/>
      </c>
      <c r="AG394" s="38" t="str">
        <f ca="1">IF(NOTA[[#This Row],[NAMA BARANG]]="","",INDEX(NOTA[SUPPLIER],MATCH(,INDIRECT(ADDRESS(ROW(NOTA[ID]),COLUMN(NOTA[ID]))&amp;":"&amp;ADDRESS(ROW(),COLUMN(NOTA[ID]))),-1)))</f>
        <v/>
      </c>
      <c r="AH394" s="16" t="str">
        <f ca="1">IF(NOTA[[#This Row],[ID]]="","",COUNTIF(NOTA[ID_H],NOTA[[#This Row],[ID_H]]))</f>
        <v/>
      </c>
      <c r="AI394" s="16" t="str">
        <f ca="1">IF(NOTA[[#This Row],[TGL.NOTA]]="",IF(NOTA[[#This Row],[SUPPLIER_H]]="","",AI393),MONTH(NOTA[[#This Row],[TGL.NOTA]]))</f>
        <v/>
      </c>
      <c r="AJ394" s="16"/>
    </row>
    <row r="395" spans="1:36" ht="20.100000000000001" customHeight="1" x14ac:dyDescent="0.25">
      <c r="A395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395" s="39" t="e">
        <f ca="1">IF(NOTA[[#This Row],[ID_P]]="","",MATCH(NOTA[[#This Row],[ID_P]],[1]!B_MSK[N_ID],0))</f>
        <v>#REF!</v>
      </c>
      <c r="D395" s="39">
        <f ca="1">IF(NOTA[[#This Row],[NAMA BARANG]]="","",INDEX(NOTA[ID],MATCH(,INDIRECT(ADDRESS(ROW(NOTA[ID]),COLUMN(NOTA[ID]))&amp;":"&amp;ADDRESS(ROW(),COLUMN(NOTA[ID]))),-1)))</f>
        <v>87</v>
      </c>
      <c r="E395" s="32"/>
      <c r="F395" s="31" t="s">
        <v>375</v>
      </c>
      <c r="G395" s="31" t="s">
        <v>87</v>
      </c>
      <c r="H395" s="33" t="s">
        <v>547</v>
      </c>
      <c r="I395" s="31"/>
      <c r="J395" s="34">
        <v>44854</v>
      </c>
      <c r="K395" s="31"/>
      <c r="L395" s="31" t="s">
        <v>548</v>
      </c>
      <c r="M395" s="35">
        <v>2</v>
      </c>
      <c r="N395" s="31">
        <v>100</v>
      </c>
      <c r="O395" s="31" t="s">
        <v>378</v>
      </c>
      <c r="P395" s="30">
        <v>125000</v>
      </c>
      <c r="Q395" s="103"/>
      <c r="R395" s="35" t="s">
        <v>379</v>
      </c>
      <c r="S395" s="37">
        <v>0.2</v>
      </c>
      <c r="T395" s="37"/>
      <c r="U395" s="36"/>
      <c r="V395" s="87"/>
      <c r="W395" s="36">
        <f>IF(NOTA[[#This Row],[HARGA/ CTN]]="",NOTA[[#This Row],[JUMLAH_H]],NOTA[[#This Row],[HARGA/ CTN]]*NOTA[[#This Row],[C]])</f>
        <v>12500000</v>
      </c>
      <c r="X395" s="36">
        <f>IF(NOTA[[#This Row],[JUMLAH]]="","",NOTA[[#This Row],[JUMLAH]]*NOTA[[#This Row],[DISC 1]])</f>
        <v>2500000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2500000</v>
      </c>
      <c r="AA395" s="36">
        <f>IF(NOTA[[#This Row],[JUMLAH]]="","",NOTA[[#This Row],[JUMLAH]]-NOTA[[#This Row],[DISC]])</f>
        <v>10000000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5" s="36">
        <f>IF(OR(NOTA[[#This Row],[QTY]]="",NOTA[[#This Row],[HARGA SATUAN]]="",),"",NOTA[[#This Row],[QTY]]*NOTA[[#This Row],[HARGA SATUAN]])</f>
        <v>12500000</v>
      </c>
      <c r="AF395" s="34">
        <f ca="1">IF(NOTA[ID_H]="","",INDEX(NOTA[TANGGAL],MATCH(,INDIRECT(ADDRESS(ROW(NOTA[TANGGAL]),COLUMN(NOTA[TANGGAL]))&amp;":"&amp;ADDRESS(ROW(),COLUMN(NOTA[TANGGAL]))),-1)))</f>
        <v>44858</v>
      </c>
      <c r="AG395" s="38" t="str">
        <f ca="1">IF(NOTA[[#This Row],[NAMA BARANG]]="","",INDEX(NOTA[SUPPLIER],MATCH(,INDIRECT(ADDRESS(ROW(NOTA[ID]),COLUMN(NOTA[ID]))&amp;":"&amp;ADDRESS(ROW(),COLUMN(NOTA[ID]))),-1)))</f>
        <v>PUTRA SURYA MANDIRI</v>
      </c>
      <c r="AH395" s="16">
        <f ca="1">IF(NOTA[[#This Row],[ID]]="","",COUNTIF(NOTA[ID_H],NOTA[[#This Row],[ID_H]]))</f>
        <v>4</v>
      </c>
      <c r="AI395" s="16">
        <f>IF(NOTA[[#This Row],[TGL.NOTA]]="",IF(NOTA[[#This Row],[SUPPLIER_H]]="","",AI394),MONTH(NOTA[[#This Row],[TGL.NOTA]]))</f>
        <v>10</v>
      </c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/>
      <c r="G396" s="31"/>
      <c r="H396" s="33"/>
      <c r="I396" s="31"/>
      <c r="J396" s="34"/>
      <c r="K396" s="31"/>
      <c r="L396" s="31" t="s">
        <v>549</v>
      </c>
      <c r="M396" s="35">
        <v>2</v>
      </c>
      <c r="N396" s="31">
        <v>100</v>
      </c>
      <c r="O396" s="31" t="s">
        <v>378</v>
      </c>
      <c r="P396" s="30">
        <v>125000</v>
      </c>
      <c r="Q396" s="103"/>
      <c r="R396" s="35" t="s">
        <v>379</v>
      </c>
      <c r="S396" s="37">
        <v>0.2</v>
      </c>
      <c r="T396" s="37"/>
      <c r="U396" s="36"/>
      <c r="V396" s="87"/>
      <c r="W396" s="36">
        <f>IF(NOTA[[#This Row],[HARGA/ CTN]]="",NOTA[[#This Row],[JUMLAH_H]],NOTA[[#This Row],[HARGA/ CTN]]*NOTA[[#This Row],[C]])</f>
        <v>12500000</v>
      </c>
      <c r="X396" s="36">
        <f>IF(NOTA[[#This Row],[JUMLAH]]="","",NOTA[[#This Row],[JUMLAH]]*NOTA[[#This Row],[DISC 1]])</f>
        <v>2500000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2500000</v>
      </c>
      <c r="AA396" s="36">
        <f>IF(NOTA[[#This Row],[JUMLAH]]="","",NOTA[[#This Row],[JUMLAH]]-NOTA[[#This Row],[DISC]])</f>
        <v>10000000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396" s="36">
        <f>IF(OR(NOTA[[#This Row],[QTY]]="",NOTA[[#This Row],[HARGA SATUAN]]="",),"",NOTA[[#This Row],[QTY]]*NOTA[[#This Row],[HARGA SATUAN]])</f>
        <v>12500000</v>
      </c>
      <c r="AF396" s="34">
        <f ca="1">IF(NOTA[ID_H]="","",INDEX(NOTA[TANGGAL],MATCH(,INDIRECT(ADDRESS(ROW(NOTA[TANGGAL]),COLUMN(NOTA[TANGGAL]))&amp;":"&amp;ADDRESS(ROW(),COLUMN(NOTA[TANGGAL]))),-1)))</f>
        <v>44858</v>
      </c>
      <c r="AG396" s="38" t="str">
        <f ca="1">IF(NOTA[[#This Row],[NAMA BARANG]]="","",INDEX(NOTA[SUPPLIER],MATCH(,INDIRECT(ADDRESS(ROW(NOTA[ID]),COLUMN(NOTA[ID]))&amp;":"&amp;ADDRESS(ROW(),COLUMN(NOTA[ID]))),-1)))</f>
        <v>PUTRA SURYA MANDIRI</v>
      </c>
      <c r="AH396" s="16" t="str">
        <f ca="1">IF(NOTA[[#This Row],[ID]]="","",COUNTIF(NOTA[ID_H],NOTA[[#This Row],[ID_H]]))</f>
        <v/>
      </c>
      <c r="AI396" s="16">
        <f ca="1"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550</v>
      </c>
      <c r="M397" s="35">
        <v>1</v>
      </c>
      <c r="N397" s="31">
        <v>280</v>
      </c>
      <c r="O397" s="31" t="s">
        <v>482</v>
      </c>
      <c r="P397" s="30">
        <v>17000</v>
      </c>
      <c r="Q397" s="103"/>
      <c r="R397" s="35" t="s">
        <v>551</v>
      </c>
      <c r="S397" s="37">
        <v>0.2</v>
      </c>
      <c r="T397" s="37"/>
      <c r="U397" s="36"/>
      <c r="V397" s="87"/>
      <c r="W397" s="36">
        <f>IF(NOTA[[#This Row],[HARGA/ CTN]]="",NOTA[[#This Row],[JUMLAH_H]],NOTA[[#This Row],[HARGA/ CTN]]*NOTA[[#This Row],[C]])</f>
        <v>4760000</v>
      </c>
      <c r="X397" s="36">
        <f>IF(NOTA[[#This Row],[JUMLAH]]="","",NOTA[[#This Row],[JUMLAH]]*NOTA[[#This Row],[DISC 1]])</f>
        <v>952000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952000</v>
      </c>
      <c r="AA397" s="36">
        <f>IF(NOTA[[#This Row],[JUMLAH]]="","",NOTA[[#This Row],[JUMLAH]]-NOTA[[#This Row],[DISC]])</f>
        <v>3808000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397" s="36">
        <f>IF(OR(NOTA[[#This Row],[QTY]]="",NOTA[[#This Row],[HARGA SATUAN]]="",),"",NOTA[[#This Row],[QTY]]*NOTA[[#This Row],[HARGA SATUAN]])</f>
        <v>4760000</v>
      </c>
      <c r="AF397" s="34">
        <f ca="1">IF(NOTA[ID_H]="","",INDEX(NOTA[TANGGAL],MATCH(,INDIRECT(ADDRESS(ROW(NOTA[TANGGAL]),COLUMN(NOTA[TANGGAL]))&amp;":"&amp;ADDRESS(ROW(),COLUMN(NOTA[TANGGAL]))),-1)))</f>
        <v>44858</v>
      </c>
      <c r="AG397" s="38" t="str">
        <f ca="1">IF(NOTA[[#This Row],[NAMA BARANG]]="","",INDEX(NOTA[SUPPLIER],MATCH(,INDIRECT(ADDRESS(ROW(NOTA[ID]),COLUMN(NOTA[ID]))&amp;":"&amp;ADDRESS(ROW(),COLUMN(NOTA[ID]))),-1)))</f>
        <v>PUTRA SURYA MANDIRI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552</v>
      </c>
      <c r="M398" s="35">
        <v>1</v>
      </c>
      <c r="N398" s="31">
        <v>120</v>
      </c>
      <c r="O398" s="31" t="s">
        <v>204</v>
      </c>
      <c r="P398" s="30">
        <v>29500</v>
      </c>
      <c r="Q398" s="103"/>
      <c r="R398" s="35" t="s">
        <v>369</v>
      </c>
      <c r="S398" s="37">
        <v>0.2</v>
      </c>
      <c r="T398" s="37"/>
      <c r="U398" s="36"/>
      <c r="V398" s="87"/>
      <c r="W398" s="36">
        <f>IF(NOTA[[#This Row],[HARGA/ CTN]]="",NOTA[[#This Row],[JUMLAH_H]],NOTA[[#This Row],[HARGA/ CTN]]*NOTA[[#This Row],[C]])</f>
        <v>3540000</v>
      </c>
      <c r="X398" s="36">
        <f>IF(NOTA[[#This Row],[JUMLAH]]="","",NOTA[[#This Row],[JUMLAH]]*NOTA[[#This Row],[DISC 1]])</f>
        <v>708000</v>
      </c>
      <c r="Y398" s="36">
        <f>IF(NOTA[[#This Row],[JUMLAH]]="","",(NOTA[[#This Row],[JUMLAH]]-NOTA[[#This Row],[DISC 1-]])*NOTA[[#This Row],[DISC 2]])</f>
        <v>0</v>
      </c>
      <c r="Z398" s="36">
        <f>IF(NOTA[[#This Row],[JUMLAH]]="","",NOTA[[#This Row],[DISC 1-]]+NOTA[[#This Row],[DISC 2-]])</f>
        <v>708000</v>
      </c>
      <c r="AA398" s="36">
        <f>IF(NOTA[[#This Row],[JUMLAH]]="","",NOTA[[#This Row],[JUMLAH]]-NOTA[[#This Row],[DISC]])</f>
        <v>2832000</v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398" s="36">
        <f>IF(OR(NOTA[[#This Row],[QTY]]="",NOTA[[#This Row],[HARGA SATUAN]]="",),"",NOTA[[#This Row],[QTY]]*NOTA[[#This Row],[HARGA SATUAN]])</f>
        <v>3540000</v>
      </c>
      <c r="AF398" s="34">
        <f ca="1">IF(NOTA[ID_H]="","",INDEX(NOTA[TANGGAL],MATCH(,INDIRECT(ADDRESS(ROW(NOTA[TANGGAL]),COLUMN(NOTA[TANGGAL]))&amp;":"&amp;ADDRESS(ROW(),COLUMN(NOTA[TANGGAL]))),-1)))</f>
        <v>44858</v>
      </c>
      <c r="AG398" s="38" t="str">
        <f ca="1">IF(NOTA[[#This Row],[NAMA BARANG]]="","",INDEX(NOTA[SUPPLIER],MATCH(,INDIRECT(ADDRESS(ROW(NOTA[ID]),COLUMN(NOTA[ID]))&amp;":"&amp;ADDRESS(ROW(),COLUMN(NOTA[ID]))),-1)))</f>
        <v>PUTRA SURYA MANDIRI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32"/>
      <c r="F399" s="31"/>
      <c r="G399" s="31"/>
      <c r="H399" s="33"/>
      <c r="I399" s="31"/>
      <c r="J399" s="34"/>
      <c r="K399" s="31"/>
      <c r="L399" s="31"/>
      <c r="M399" s="35"/>
      <c r="N399" s="31"/>
      <c r="O399" s="31"/>
      <c r="P399" s="30"/>
      <c r="Q399" s="103"/>
      <c r="R399" s="35"/>
      <c r="S399" s="37"/>
      <c r="T399" s="37"/>
      <c r="U399" s="36"/>
      <c r="V399" s="87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8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 t="str">
        <f ca="1">IF(NOTA[[#This Row],[TGL.NOTA]]="",IF(NOTA[[#This Row],[SUPPLIER_H]]="","",AI398),MONTH(NOTA[[#This Row],[TGL.NOTA]]))</f>
        <v/>
      </c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88</v>
      </c>
      <c r="E400" s="32"/>
      <c r="F400" s="31" t="s">
        <v>254</v>
      </c>
      <c r="G400" s="31" t="s">
        <v>87</v>
      </c>
      <c r="H400" s="33" t="s">
        <v>553</v>
      </c>
      <c r="I400" s="31"/>
      <c r="J400" s="34">
        <v>44854</v>
      </c>
      <c r="K400" s="31"/>
      <c r="L400" s="31" t="s">
        <v>258</v>
      </c>
      <c r="M400" s="35">
        <v>9</v>
      </c>
      <c r="N400" s="31">
        <v>450</v>
      </c>
      <c r="O400" s="31" t="s">
        <v>90</v>
      </c>
      <c r="P400" s="30">
        <v>17500</v>
      </c>
      <c r="Q400" s="103"/>
      <c r="R400" s="35" t="s">
        <v>257</v>
      </c>
      <c r="S400" s="37"/>
      <c r="T400" s="37"/>
      <c r="U400" s="36"/>
      <c r="V400" s="87"/>
      <c r="W400" s="36">
        <f>IF(NOTA[[#This Row],[HARGA/ CTN]]="",NOTA[[#This Row],[JUMLAH_H]],NOTA[[#This Row],[HARGA/ CTN]]*NOTA[[#This Row],[C]])</f>
        <v>7875000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7875000</v>
      </c>
      <c r="AB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0" s="36">
        <f>IF(OR(NOTA[[#This Row],[QTY]]="",NOTA[[#This Row],[HARGA SATUAN]]="",),"",NOTA[[#This Row],[QTY]]*NOTA[[#This Row],[HARGA SATUAN]])</f>
        <v>7875000</v>
      </c>
      <c r="AF400" s="34">
        <f ca="1">IF(NOTA[ID_H]="","",INDEX(NOTA[TANGGAL],MATCH(,INDIRECT(ADDRESS(ROW(NOTA[TANGGAL]),COLUMN(NOTA[TANGGAL]))&amp;":"&amp;ADDRESS(ROW(),COLUMN(NOTA[TANGGAL]))),-1)))</f>
        <v>44858</v>
      </c>
      <c r="AG400" s="38" t="str">
        <f ca="1">IF(NOTA[[#This Row],[NAMA BARANG]]="","",INDEX(NOTA[SUPPLIER],MATCH(,INDIRECT(ADDRESS(ROW(NOTA[ID]),COLUMN(NOTA[ID]))&amp;":"&amp;ADDRESS(ROW(),COLUMN(NOTA[ID]))),-1)))</f>
        <v>GRAFINDO</v>
      </c>
      <c r="AH400" s="16">
        <f ca="1">IF(NOTA[[#This Row],[ID]]="","",COUNTIF(NOTA[ID_H],NOTA[[#This Row],[ID_H]]))</f>
        <v>1</v>
      </c>
      <c r="AI400" s="16">
        <f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 t="str">
        <f ca="1">IF(NOTA[[#This Row],[NAMA BARANG]]="","",INDEX(NOTA[ID],MATCH(,INDIRECT(ADDRESS(ROW(NOTA[ID]),COLUMN(NOTA[ID]))&amp;":"&amp;ADDRESS(ROW(),COLUMN(NOTA[ID]))),-1)))</f>
        <v/>
      </c>
      <c r="E401" s="32"/>
      <c r="F401" s="31"/>
      <c r="G401" s="31"/>
      <c r="H401" s="33"/>
      <c r="I401" s="31"/>
      <c r="J401" s="34"/>
      <c r="K401" s="31"/>
      <c r="L401" s="31"/>
      <c r="M401" s="35"/>
      <c r="N401" s="31"/>
      <c r="O401" s="31"/>
      <c r="P401" s="30"/>
      <c r="Q401" s="103"/>
      <c r="R401" s="35"/>
      <c r="S401" s="37"/>
      <c r="T401" s="37"/>
      <c r="U401" s="36"/>
      <c r="V401" s="87"/>
      <c r="W401" s="36" t="str">
        <f>IF(NOTA[[#This Row],[HARGA/ CTN]]="",NOTA[[#This Row],[JUMLAH_H]],NOTA[[#This Row],[HARGA/ CTN]]*NOTA[[#This Row],[C]])</f>
        <v/>
      </c>
      <c r="X401" s="36" t="str">
        <f>IF(NOTA[[#This Row],[JUMLAH]]="","",NOTA[[#This Row],[JUMLAH]]*NOTA[[#This Row],[DISC 1]])</f>
        <v/>
      </c>
      <c r="Y401" s="36" t="str">
        <f>IF(NOTA[[#This Row],[JUMLAH]]="","",(NOTA[[#This Row],[JUMLAH]]-NOTA[[#This Row],[DISC 1-]])*NOTA[[#This Row],[DISC 2]])</f>
        <v/>
      </c>
      <c r="Z401" s="36" t="str">
        <f>IF(NOTA[[#This Row],[JUMLAH]]="","",NOTA[[#This Row],[DISC 1-]]+NOTA[[#This Row],[DISC 2-]])</f>
        <v/>
      </c>
      <c r="AA401" s="36" t="str">
        <f>IF(NOTA[[#This Row],[JUMLAH]]="","",NOTA[[#This Row],[JUMLAH]]-NOTA[[#This Row],[DISC]])</f>
        <v/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6" t="str">
        <f>IF(OR(NOTA[[#This Row],[QTY]]="",NOTA[[#This Row],[HARGA SATUAN]]="",),"",NOTA[[#This Row],[QTY]]*NOTA[[#This Row],[HARGA SATUAN]])</f>
        <v/>
      </c>
      <c r="AF401" s="34" t="str">
        <f ca="1">IF(NOTA[ID_H]="","",INDEX(NOTA[TANGGAL],MATCH(,INDIRECT(ADDRESS(ROW(NOTA[TANGGAL]),COLUMN(NOTA[TANGGAL]))&amp;":"&amp;ADDRESS(ROW(),COLUMN(NOTA[TANGGAL]))),-1)))</f>
        <v/>
      </c>
      <c r="AG401" s="38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 t="str">
        <f ca="1">IF(NOTA[[#This Row],[TGL.NOTA]]="",IF(NOTA[[#This Row],[SUPPLIER_H]]="","",AI400),MONTH(NOTA[[#This Row],[TGL.NOTA]]))</f>
        <v/>
      </c>
      <c r="AJ401" s="16"/>
    </row>
    <row r="402" spans="1:36" ht="20.100000000000001" customHeight="1" x14ac:dyDescent="0.25">
      <c r="A402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02" s="39" t="e">
        <f ca="1">IF(NOTA[[#This Row],[ID_P]]="","",MATCH(NOTA[[#This Row],[ID_P]],[1]!B_MSK[N_ID],0))</f>
        <v>#REF!</v>
      </c>
      <c r="D402" s="39">
        <f ca="1">IF(NOTA[[#This Row],[NAMA BARANG]]="","",INDEX(NOTA[ID],MATCH(,INDIRECT(ADDRESS(ROW(NOTA[ID]),COLUMN(NOTA[ID]))&amp;":"&amp;ADDRESS(ROW(),COLUMN(NOTA[ID]))),-1)))</f>
        <v>89</v>
      </c>
      <c r="E402" s="32"/>
      <c r="F402" s="31" t="s">
        <v>254</v>
      </c>
      <c r="G402" s="31" t="s">
        <v>87</v>
      </c>
      <c r="H402" s="33" t="s">
        <v>554</v>
      </c>
      <c r="I402" s="31"/>
      <c r="J402" s="34">
        <v>44854</v>
      </c>
      <c r="K402" s="31"/>
      <c r="L402" s="31" t="s">
        <v>256</v>
      </c>
      <c r="M402" s="35">
        <v>6</v>
      </c>
      <c r="N402" s="31">
        <v>300</v>
      </c>
      <c r="O402" s="31" t="s">
        <v>90</v>
      </c>
      <c r="P402" s="30">
        <v>17500</v>
      </c>
      <c r="Q402" s="103"/>
      <c r="R402" s="35" t="s">
        <v>257</v>
      </c>
      <c r="S402" s="37"/>
      <c r="T402" s="37"/>
      <c r="U402" s="36"/>
      <c r="V402" s="87"/>
      <c r="W402" s="36">
        <f>IF(NOTA[[#This Row],[HARGA/ CTN]]="",NOTA[[#This Row],[JUMLAH_H]],NOTA[[#This Row],[HARGA/ CTN]]*NOTA[[#This Row],[C]])</f>
        <v>5250000</v>
      </c>
      <c r="X402" s="36">
        <f>IF(NOTA[[#This Row],[JUMLAH]]="","",NOTA[[#This Row],[JUMLAH]]*NOTA[[#This Row],[DISC 1]])</f>
        <v>0</v>
      </c>
      <c r="Y402" s="36">
        <f>IF(NOTA[[#This Row],[JUMLAH]]="","",(NOTA[[#This Row],[JUMLAH]]-NOTA[[#This Row],[DISC 1-]])*NOTA[[#This Row],[DISC 2]])</f>
        <v>0</v>
      </c>
      <c r="Z402" s="36">
        <f>IF(NOTA[[#This Row],[JUMLAH]]="","",NOTA[[#This Row],[DISC 1-]]+NOTA[[#This Row],[DISC 2-]])</f>
        <v>0</v>
      </c>
      <c r="AA402" s="36">
        <f>IF(NOTA[[#This Row],[JUMLAH]]="","",NOTA[[#This Row],[JUMLAH]]-NOTA[[#This Row],[DISC]])</f>
        <v>5250000</v>
      </c>
      <c r="AB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02" s="36">
        <f>IF(OR(NOTA[[#This Row],[QTY]]="",NOTA[[#This Row],[HARGA SATUAN]]="",),"",NOTA[[#This Row],[QTY]]*NOTA[[#This Row],[HARGA SATUAN]])</f>
        <v>5250000</v>
      </c>
      <c r="AF402" s="34">
        <f ca="1">IF(NOTA[ID_H]="","",INDEX(NOTA[TANGGAL],MATCH(,INDIRECT(ADDRESS(ROW(NOTA[TANGGAL]),COLUMN(NOTA[TANGGAL]))&amp;":"&amp;ADDRESS(ROW(),COLUMN(NOTA[TANGGAL]))),-1)))</f>
        <v>44858</v>
      </c>
      <c r="AG402" s="38" t="str">
        <f ca="1">IF(NOTA[[#This Row],[NAMA BARANG]]="","",INDEX(NOTA[SUPPLIER],MATCH(,INDIRECT(ADDRESS(ROW(NOTA[ID]),COLUMN(NOTA[ID]))&amp;":"&amp;ADDRESS(ROW(),COLUMN(NOTA[ID]))),-1)))</f>
        <v>GRAFINDO</v>
      </c>
      <c r="AH402" s="16">
        <f ca="1">IF(NOTA[[#This Row],[ID]]="","",COUNTIF(NOTA[ID_H],NOTA[[#This Row],[ID_H]]))</f>
        <v>1</v>
      </c>
      <c r="AI402" s="16">
        <f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 t="str">
        <f ca="1">IF(NOTA[[#This Row],[NAMA BARANG]]="","",INDEX(NOTA[ID],MATCH(,INDIRECT(ADDRESS(ROW(NOTA[ID]),COLUMN(NOTA[ID]))&amp;":"&amp;ADDRESS(ROW(),COLUMN(NOTA[ID]))),-1)))</f>
        <v/>
      </c>
      <c r="E403" s="32"/>
      <c r="F403" s="31"/>
      <c r="G403" s="31"/>
      <c r="H403" s="33"/>
      <c r="I403" s="31"/>
      <c r="J403" s="34"/>
      <c r="K403" s="31"/>
      <c r="L403" s="31"/>
      <c r="M403" s="35"/>
      <c r="N403" s="31"/>
      <c r="O403" s="31"/>
      <c r="P403" s="30"/>
      <c r="Q403" s="103"/>
      <c r="R403" s="35"/>
      <c r="S403" s="37"/>
      <c r="T403" s="37"/>
      <c r="U403" s="36"/>
      <c r="V403" s="87"/>
      <c r="W403" s="36" t="str">
        <f>IF(NOTA[[#This Row],[HARGA/ CTN]]="",NOTA[[#This Row],[JUMLAH_H]],NOTA[[#This Row],[HARGA/ CTN]]*NOTA[[#This Row],[C]])</f>
        <v/>
      </c>
      <c r="X403" s="36" t="str">
        <f>IF(NOTA[[#This Row],[JUMLAH]]="","",NOTA[[#This Row],[JUMLAH]]*NOTA[[#This Row],[DISC 1]])</f>
        <v/>
      </c>
      <c r="Y403" s="36" t="str">
        <f>IF(NOTA[[#This Row],[JUMLAH]]="","",(NOTA[[#This Row],[JUMLAH]]-NOTA[[#This Row],[DISC 1-]])*NOTA[[#This Row],[DISC 2]])</f>
        <v/>
      </c>
      <c r="Z403" s="36" t="str">
        <f>IF(NOTA[[#This Row],[JUMLAH]]="","",NOTA[[#This Row],[DISC 1-]]+NOTA[[#This Row],[DISC 2-]])</f>
        <v/>
      </c>
      <c r="AA403" s="36" t="str">
        <f>IF(NOTA[[#This Row],[JUMLAH]]="","",NOTA[[#This Row],[JUMLAH]]-NOTA[[#This Row],[DISC]])</f>
        <v/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36" t="str">
        <f>IF(OR(NOTA[[#This Row],[QTY]]="",NOTA[[#This Row],[HARGA SATUAN]]="",),"",NOTA[[#This Row],[QTY]]*NOTA[[#This Row],[HARGA SATUAN]])</f>
        <v/>
      </c>
      <c r="AF403" s="34" t="str">
        <f ca="1">IF(NOTA[ID_H]="","",INDEX(NOTA[TANGGAL],MATCH(,INDIRECT(ADDRESS(ROW(NOTA[TANGGAL]),COLUMN(NOTA[TANGGAL]))&amp;":"&amp;ADDRESS(ROW(),COLUMN(NOTA[TANGGAL]))),-1)))</f>
        <v/>
      </c>
      <c r="AG403" s="38" t="str">
        <f ca="1">IF(NOTA[[#This Row],[NAMA BARANG]]="","",INDEX(NOTA[SUPPLIER],MATCH(,INDIRECT(ADDRESS(ROW(NOTA[ID]),COLUMN(NOTA[ID]))&amp;":"&amp;ADDRESS(ROW(),COLUMN(NOTA[ID]))),-1)))</f>
        <v/>
      </c>
      <c r="AH403" s="16" t="str">
        <f ca="1">IF(NOTA[[#This Row],[ID]]="","",COUNTIF(NOTA[ID_H],NOTA[[#This Row],[ID_H]]))</f>
        <v/>
      </c>
      <c r="AI403" s="16" t="str">
        <f ca="1">IF(NOTA[[#This Row],[TGL.NOTA]]="",IF(NOTA[[#This Row],[SUPPLIER_H]]="","",AI402),MONTH(NOTA[[#This Row],[TGL.NOTA]]))</f>
        <v/>
      </c>
      <c r="AJ403" s="16"/>
    </row>
    <row r="404" spans="1:36" ht="20.100000000000001" customHeight="1" x14ac:dyDescent="0.25">
      <c r="A40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04" s="39" t="e">
        <f ca="1">IF(NOTA[[#This Row],[ID_P]]="","",MATCH(NOTA[[#This Row],[ID_P]],[1]!B_MSK[N_ID],0))</f>
        <v>#REF!</v>
      </c>
      <c r="D404" s="39">
        <f ca="1">IF(NOTA[[#This Row],[NAMA BARANG]]="","",INDEX(NOTA[ID],MATCH(,INDIRECT(ADDRESS(ROW(NOTA[ID]),COLUMN(NOTA[ID]))&amp;":"&amp;ADDRESS(ROW(),COLUMN(NOTA[ID]))),-1)))</f>
        <v>90</v>
      </c>
      <c r="E404" s="32">
        <v>44859</v>
      </c>
      <c r="F404" s="31" t="s">
        <v>555</v>
      </c>
      <c r="G404" s="31" t="s">
        <v>87</v>
      </c>
      <c r="H404" s="33" t="s">
        <v>556</v>
      </c>
      <c r="I404" s="31"/>
      <c r="J404" s="34">
        <v>44855</v>
      </c>
      <c r="K404" s="31"/>
      <c r="L404" s="31" t="s">
        <v>557</v>
      </c>
      <c r="M404" s="35">
        <v>20</v>
      </c>
      <c r="N404" s="31">
        <f>144*20</f>
        <v>2880</v>
      </c>
      <c r="O404" s="31" t="s">
        <v>88</v>
      </c>
      <c r="P404" s="30">
        <v>3083.33</v>
      </c>
      <c r="Q404" s="103">
        <v>444000</v>
      </c>
      <c r="R404" s="35" t="s">
        <v>558</v>
      </c>
      <c r="S404" s="37"/>
      <c r="T404" s="37"/>
      <c r="U404" s="36"/>
      <c r="V404" s="87"/>
      <c r="W404" s="36">
        <f>IF(NOTA[[#This Row],[HARGA/ CTN]]="",NOTA[[#This Row],[JUMLAH_H]],NOTA[[#This Row],[HARGA/ CTN]]*NOTA[[#This Row],[C]])</f>
        <v>8880000</v>
      </c>
      <c r="X404" s="36">
        <f>IF(NOTA[[#This Row],[JUMLAH]]="","",NOTA[[#This Row],[JUMLAH]]*NOTA[[#This Row],[DISC 1]])</f>
        <v>0</v>
      </c>
      <c r="Y404" s="36">
        <f>IF(NOTA[[#This Row],[JUMLAH]]="","",(NOTA[[#This Row],[JUMLAH]]-NOTA[[#This Row],[DISC 1-]])*NOTA[[#This Row],[DISC 2]])</f>
        <v>0</v>
      </c>
      <c r="Z404" s="36">
        <f>IF(NOTA[[#This Row],[JUMLAH]]="","",NOTA[[#This Row],[DISC 1-]]+NOTA[[#This Row],[DISC 2-]])</f>
        <v>0</v>
      </c>
      <c r="AA404" s="36">
        <f>IF(NOTA[[#This Row],[JUMLAH]]="","",NOTA[[#This Row],[JUMLAH]]-NOTA[[#This Row],[DISC]])</f>
        <v>8880000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4" s="36">
        <f>IF(OR(NOTA[[#This Row],[QTY]]="",NOTA[[#This Row],[HARGA SATUAN]]="",),"",NOTA[[#This Row],[QTY]]*NOTA[[#This Row],[HARGA SATUAN]])</f>
        <v>8879990.4000000004</v>
      </c>
      <c r="AF404" s="34">
        <f ca="1">IF(NOTA[ID_H]="","",INDEX(NOTA[TANGGAL],MATCH(,INDIRECT(ADDRESS(ROW(NOTA[TANGGAL]),COLUMN(NOTA[TANGGAL]))&amp;":"&amp;ADDRESS(ROW(),COLUMN(NOTA[TANGGAL]))),-1)))</f>
        <v>44859</v>
      </c>
      <c r="AG404" s="38" t="str">
        <f ca="1">IF(NOTA[[#This Row],[NAMA BARANG]]="","",INDEX(NOTA[SUPPLIER],MATCH(,INDIRECT(ADDRESS(ROW(NOTA[ID]),COLUMN(NOTA[ID]))&amp;":"&amp;ADDRESS(ROW(),COLUMN(NOTA[ID]))),-1)))</f>
        <v>BINTANG JAYA</v>
      </c>
      <c r="AH404" s="16">
        <f ca="1">IF(NOTA[[#This Row],[ID]]="","",COUNTIF(NOTA[ID_H],NOTA[[#This Row],[ID_H]]))</f>
        <v>2</v>
      </c>
      <c r="AI404" s="16">
        <f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90</v>
      </c>
      <c r="E405" s="32"/>
      <c r="F405" s="31"/>
      <c r="G405" s="31"/>
      <c r="H405" s="33"/>
      <c r="I405" s="31"/>
      <c r="J405" s="34"/>
      <c r="K405" s="31"/>
      <c r="L405" s="31" t="s">
        <v>557</v>
      </c>
      <c r="M405" s="35">
        <v>1</v>
      </c>
      <c r="N405" s="31">
        <v>144</v>
      </c>
      <c r="O405" s="31" t="s">
        <v>88</v>
      </c>
      <c r="P405" s="30">
        <v>3083.33</v>
      </c>
      <c r="Q405" s="103">
        <v>444000</v>
      </c>
      <c r="R405" s="35" t="s">
        <v>558</v>
      </c>
      <c r="S405" s="37"/>
      <c r="T405" s="37"/>
      <c r="U405" s="36">
        <v>444000</v>
      </c>
      <c r="V405" s="87" t="s">
        <v>559</v>
      </c>
      <c r="W405" s="36">
        <f>IF(NOTA[[#This Row],[HARGA/ CTN]]="",NOTA[[#This Row],[JUMLAH_H]],NOTA[[#This Row],[HARGA/ CTN]]*NOTA[[#This Row],[C]])</f>
        <v>444000</v>
      </c>
      <c r="X405" s="36">
        <f>IF(NOTA[[#This Row],[JUMLAH]]="","",NOTA[[#This Row],[JUMLAH]]*NOTA[[#This Row],[DISC 1]])</f>
        <v>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0</v>
      </c>
      <c r="AA405" s="36">
        <f>IF(NOTA[[#This Row],[JUMLAH]]="","",NOTA[[#This Row],[JUMLAH]]-NOTA[[#This Row],[DISC]])</f>
        <v>444000</v>
      </c>
      <c r="AB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05" s="36">
        <f>IF(OR(NOTA[[#This Row],[QTY]]="",NOTA[[#This Row],[HARGA SATUAN]]="",),"",NOTA[[#This Row],[QTY]]*NOTA[[#This Row],[HARGA SATUAN]])</f>
        <v>443999.52</v>
      </c>
      <c r="AF405" s="34">
        <f ca="1">IF(NOTA[ID_H]="","",INDEX(NOTA[TANGGAL],MATCH(,INDIRECT(ADDRESS(ROW(NOTA[TANGGAL]),COLUMN(NOTA[TANGGAL]))&amp;":"&amp;ADDRESS(ROW(),COLUMN(NOTA[TANGGAL]))),-1)))</f>
        <v>44859</v>
      </c>
      <c r="AG405" s="38" t="str">
        <f ca="1">IF(NOTA[[#This Row],[NAMA BARANG]]="","",INDEX(NOTA[SUPPLIER],MATCH(,INDIRECT(ADDRESS(ROW(NOTA[ID]),COLUMN(NOTA[ID]))&amp;":"&amp;ADDRESS(ROW(),COLUMN(NOTA[ID]))),-1)))</f>
        <v>BINTANG JAYA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 t="str">
        <f ca="1">IF(NOTA[[#This Row],[NAMA BARANG]]="","",INDEX(NOTA[ID],MATCH(,INDIRECT(ADDRESS(ROW(NOTA[ID]),COLUMN(NOTA[ID]))&amp;":"&amp;ADDRESS(ROW(),COLUMN(NOTA[ID]))),-1)))</f>
        <v/>
      </c>
      <c r="E406" s="32"/>
      <c r="F406" s="31"/>
      <c r="G406" s="31"/>
      <c r="H406" s="33"/>
      <c r="I406" s="31"/>
      <c r="J406" s="34"/>
      <c r="K406" s="31"/>
      <c r="L406" s="31"/>
      <c r="M406" s="35"/>
      <c r="N406" s="31"/>
      <c r="O406" s="31"/>
      <c r="P406" s="30"/>
      <c r="Q406" s="103"/>
      <c r="R406" s="35"/>
      <c r="S406" s="37"/>
      <c r="T406" s="37"/>
      <c r="U406" s="36"/>
      <c r="V406" s="87"/>
      <c r="W406" s="36" t="str">
        <f>IF(NOTA[[#This Row],[HARGA/ CTN]]="",NOTA[[#This Row],[JUMLAH_H]],NOTA[[#This Row],[HARGA/ CTN]]*NOTA[[#This Row],[C]])</f>
        <v/>
      </c>
      <c r="X406" s="36" t="str">
        <f>IF(NOTA[[#This Row],[JUMLAH]]="","",NOTA[[#This Row],[JUMLAH]]*NOTA[[#This Row],[DISC 1]])</f>
        <v/>
      </c>
      <c r="Y406" s="36" t="str">
        <f>IF(NOTA[[#This Row],[JUMLAH]]="","",(NOTA[[#This Row],[JUMLAH]]-NOTA[[#This Row],[DISC 1-]])*NOTA[[#This Row],[DISC 2]])</f>
        <v/>
      </c>
      <c r="Z406" s="36" t="str">
        <f>IF(NOTA[[#This Row],[JUMLAH]]="","",NOTA[[#This Row],[DISC 1-]]+NOTA[[#This Row],[DISC 2-]])</f>
        <v/>
      </c>
      <c r="AA406" s="36" t="str">
        <f>IF(NOTA[[#This Row],[JUMLAH]]="","",NOTA[[#This Row],[JUMLAH]]-NOTA[[#This Row],[DISC]])</f>
        <v/>
      </c>
      <c r="AB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36" t="str">
        <f>IF(OR(NOTA[[#This Row],[QTY]]="",NOTA[[#This Row],[HARGA SATUAN]]="",),"",NOTA[[#This Row],[QTY]]*NOTA[[#This Row],[HARGA SATUAN]])</f>
        <v/>
      </c>
      <c r="AF406" s="34" t="str">
        <f ca="1">IF(NOTA[ID_H]="","",INDEX(NOTA[TANGGAL],MATCH(,INDIRECT(ADDRESS(ROW(NOTA[TANGGAL]),COLUMN(NOTA[TANGGAL]))&amp;":"&amp;ADDRESS(ROW(),COLUMN(NOTA[TANGGAL]))),-1)))</f>
        <v/>
      </c>
      <c r="AG406" s="38" t="str">
        <f ca="1">IF(NOTA[[#This Row],[NAMA BARANG]]="","",INDEX(NOTA[SUPPLIER],MATCH(,INDIRECT(ADDRESS(ROW(NOTA[ID]),COLUMN(NOTA[ID]))&amp;":"&amp;ADDRESS(ROW(),COLUMN(NOTA[ID]))),-1)))</f>
        <v/>
      </c>
      <c r="AH406" s="16" t="str">
        <f ca="1">IF(NOTA[[#This Row],[ID]]="","",COUNTIF(NOTA[ID_H],NOTA[[#This Row],[ID_H]]))</f>
        <v/>
      </c>
      <c r="AI406" s="16" t="str">
        <f ca="1">IF(NOTA[[#This Row],[TGL.NOTA]]="",IF(NOTA[[#This Row],[SUPPLIER_H]]="","",AI405),MONTH(NOTA[[#This Row],[TGL.NOTA]]))</f>
        <v/>
      </c>
      <c r="AJ406" s="16"/>
    </row>
    <row r="407" spans="1:36" ht="20.100000000000001" customHeight="1" x14ac:dyDescent="0.25">
      <c r="A407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07" s="39" t="e">
        <f ca="1">IF(NOTA[[#This Row],[ID_P]]="","",MATCH(NOTA[[#This Row],[ID_P]],[1]!B_MSK[N_ID],0))</f>
        <v>#REF!</v>
      </c>
      <c r="D407" s="39">
        <f ca="1">IF(NOTA[[#This Row],[NAMA BARANG]]="","",INDEX(NOTA[ID],MATCH(,INDIRECT(ADDRESS(ROW(NOTA[ID]),COLUMN(NOTA[ID]))&amp;":"&amp;ADDRESS(ROW(),COLUMN(NOTA[ID]))),-1)))</f>
        <v>91</v>
      </c>
      <c r="E407" s="32">
        <v>44860</v>
      </c>
      <c r="F407" s="31" t="s">
        <v>560</v>
      </c>
      <c r="G407" s="31" t="s">
        <v>87</v>
      </c>
      <c r="H407" s="33" t="s">
        <v>561</v>
      </c>
      <c r="I407" s="31"/>
      <c r="J407" s="34">
        <v>44860</v>
      </c>
      <c r="K407" s="31"/>
      <c r="L407" s="31" t="s">
        <v>562</v>
      </c>
      <c r="M407" s="35">
        <v>2</v>
      </c>
      <c r="N407" s="31">
        <v>100</v>
      </c>
      <c r="O407" s="31" t="s">
        <v>88</v>
      </c>
      <c r="P407" s="30">
        <v>28000</v>
      </c>
      <c r="Q407" s="103"/>
      <c r="R407" s="35" t="s">
        <v>124</v>
      </c>
      <c r="S407" s="37"/>
      <c r="T407" s="37"/>
      <c r="U407" s="36"/>
      <c r="V407" s="87"/>
      <c r="W407" s="36">
        <f>IF(NOTA[[#This Row],[HARGA/ CTN]]="",NOTA[[#This Row],[JUMLAH_H]],NOTA[[#This Row],[HARGA/ CTN]]*NOTA[[#This Row],[C]])</f>
        <v>2800000</v>
      </c>
      <c r="X407" s="36">
        <f>IF(NOTA[[#This Row],[JUMLAH]]="","",NOTA[[#This Row],[JUMLAH]]*NOTA[[#This Row],[DISC 1]])</f>
        <v>0</v>
      </c>
      <c r="Y407" s="36">
        <f>IF(NOTA[[#This Row],[JUMLAH]]="","",(NOTA[[#This Row],[JUMLAH]]-NOTA[[#This Row],[DISC 1-]])*NOTA[[#This Row],[DISC 2]])</f>
        <v>0</v>
      </c>
      <c r="Z407" s="36">
        <f>IF(NOTA[[#This Row],[JUMLAH]]="","",NOTA[[#This Row],[DISC 1-]]+NOTA[[#This Row],[DISC 2-]])</f>
        <v>0</v>
      </c>
      <c r="AA407" s="36">
        <f>IF(NOTA[[#This Row],[JUMLAH]]="","",NOTA[[#This Row],[JUMLAH]]-NOTA[[#This Row],[DISC]])</f>
        <v>2800000</v>
      </c>
      <c r="AB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07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07" s="36">
        <f>IF(OR(NOTA[[#This Row],[QTY]]="",NOTA[[#This Row],[HARGA SATUAN]]="",),"",NOTA[[#This Row],[QTY]]*NOTA[[#This Row],[HARGA SATUAN]])</f>
        <v>2800000</v>
      </c>
      <c r="AF407" s="34">
        <f ca="1">IF(NOTA[ID_H]="","",INDEX(NOTA[TANGGAL],MATCH(,INDIRECT(ADDRESS(ROW(NOTA[TANGGAL]),COLUMN(NOTA[TANGGAL]))&amp;":"&amp;ADDRESS(ROW(),COLUMN(NOTA[TANGGAL]))),-1)))</f>
        <v>44860</v>
      </c>
      <c r="AG407" s="38" t="str">
        <f ca="1">IF(NOTA[[#This Row],[NAMA BARANG]]="","",INDEX(NOTA[SUPPLIER],MATCH(,INDIRECT(ADDRESS(ROW(NOTA[ID]),COLUMN(NOTA[ID]))&amp;":"&amp;ADDRESS(ROW(),COLUMN(NOTA[ID]))),-1)))</f>
        <v>SBS</v>
      </c>
      <c r="AH407" s="16">
        <f ca="1">IF(NOTA[[#This Row],[ID]]="","",COUNTIF(NOTA[ID_H],NOTA[[#This Row],[ID_H]]))</f>
        <v>1</v>
      </c>
      <c r="AI407" s="16">
        <f>IF(NOTA[[#This Row],[TGL.NOTA]]="",IF(NOTA[[#This Row],[SUPPLIER_H]]="","",AI406),MONTH(NOTA[[#This Row],[TGL.NOTA]]))</f>
        <v>10</v>
      </c>
      <c r="AJ407" s="16"/>
    </row>
    <row r="408" spans="1:36" ht="20.100000000000001" customHeight="1" x14ac:dyDescent="0.25">
      <c r="A4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9" t="str">
        <f>IF(NOTA[[#This Row],[ID_P]]="","",MATCH(NOTA[[#This Row],[ID_P]],[1]!B_MSK[N_ID],0))</f>
        <v/>
      </c>
      <c r="D408" s="39" t="str">
        <f ca="1">IF(NOTA[[#This Row],[NAMA BARANG]]="","",INDEX(NOTA[ID],MATCH(,INDIRECT(ADDRESS(ROW(NOTA[ID]),COLUMN(NOTA[ID]))&amp;":"&amp;ADDRESS(ROW(),COLUMN(NOTA[ID]))),-1)))</f>
        <v/>
      </c>
      <c r="E408" s="32"/>
      <c r="F408" s="31"/>
      <c r="G408" s="31"/>
      <c r="H408" s="33"/>
      <c r="I408" s="31"/>
      <c r="J408" s="34"/>
      <c r="K408" s="31"/>
      <c r="L408" s="31"/>
      <c r="M408" s="35"/>
      <c r="N408" s="31"/>
      <c r="O408" s="31"/>
      <c r="P408" s="30"/>
      <c r="Q408" s="103"/>
      <c r="R408" s="35"/>
      <c r="S408" s="37"/>
      <c r="T408" s="37"/>
      <c r="U408" s="36"/>
      <c r="V408" s="87"/>
      <c r="W408" s="36" t="str">
        <f>IF(NOTA[[#This Row],[HARGA/ CTN]]="",NOTA[[#This Row],[JUMLAH_H]],NOTA[[#This Row],[HARGA/ CTN]]*NOTA[[#This Row],[C]])</f>
        <v/>
      </c>
      <c r="X408" s="36" t="str">
        <f>IF(NOTA[[#This Row],[JUMLAH]]="","",NOTA[[#This Row],[JUMLAH]]*NOTA[[#This Row],[DISC 1]])</f>
        <v/>
      </c>
      <c r="Y408" s="36" t="str">
        <f>IF(NOTA[[#This Row],[JUMLAH]]="","",(NOTA[[#This Row],[JUMLAH]]-NOTA[[#This Row],[DISC 1-]])*NOTA[[#This Row],[DISC 2]])</f>
        <v/>
      </c>
      <c r="Z408" s="36" t="str">
        <f>IF(NOTA[[#This Row],[JUMLAH]]="","",NOTA[[#This Row],[DISC 1-]]+NOTA[[#This Row],[DISC 2-]])</f>
        <v/>
      </c>
      <c r="AA408" s="36" t="str">
        <f>IF(NOTA[[#This Row],[JUMLAH]]="","",NOTA[[#This Row],[JUMLAH]]-NOTA[[#This Row],[DISC]])</f>
        <v/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36" t="str">
        <f>IF(OR(NOTA[[#This Row],[QTY]]="",NOTA[[#This Row],[HARGA SATUAN]]="",),"",NOTA[[#This Row],[QTY]]*NOTA[[#This Row],[HARGA SATUAN]])</f>
        <v/>
      </c>
      <c r="AF408" s="34" t="str">
        <f ca="1">IF(NOTA[ID_H]="","",INDEX(NOTA[TANGGAL],MATCH(,INDIRECT(ADDRESS(ROW(NOTA[TANGGAL]),COLUMN(NOTA[TANGGAL]))&amp;":"&amp;ADDRESS(ROW(),COLUMN(NOTA[TANGGAL]))),-1)))</f>
        <v/>
      </c>
      <c r="AG408" s="38" t="str">
        <f ca="1">IF(NOTA[[#This Row],[NAMA BARANG]]="","",INDEX(NOTA[SUPPLIER],MATCH(,INDIRECT(ADDRESS(ROW(NOTA[ID]),COLUMN(NOTA[ID]))&amp;":"&amp;ADDRESS(ROW(),COLUMN(NOTA[ID]))),-1)))</f>
        <v/>
      </c>
      <c r="AH408" s="16" t="str">
        <f ca="1">IF(NOTA[[#This Row],[ID]]="","",COUNTIF(NOTA[ID_H],NOTA[[#This Row],[ID_H]]))</f>
        <v/>
      </c>
      <c r="AI408" s="16" t="str">
        <f ca="1">IF(NOTA[[#This Row],[TGL.NOTA]]="",IF(NOTA[[#This Row],[SUPPLIER_H]]="","",AI407),MONTH(NOTA[[#This Row],[TGL.NOTA]]))</f>
        <v/>
      </c>
      <c r="AJ408" s="16"/>
    </row>
    <row r="409" spans="1:36" ht="20.100000000000001" customHeight="1" x14ac:dyDescent="0.25">
      <c r="A409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09" s="39" t="e">
        <f ca="1">IF(NOTA[[#This Row],[ID_P]]="","",MATCH(NOTA[[#This Row],[ID_P]],[1]!B_MSK[N_ID],0))</f>
        <v>#REF!</v>
      </c>
      <c r="D409" s="39">
        <f ca="1">IF(NOTA[[#This Row],[NAMA BARANG]]="","",INDEX(NOTA[ID],MATCH(,INDIRECT(ADDRESS(ROW(NOTA[ID]),COLUMN(NOTA[ID]))&amp;":"&amp;ADDRESS(ROW(),COLUMN(NOTA[ID]))),-1)))</f>
        <v>92</v>
      </c>
      <c r="E409" s="32"/>
      <c r="F409" s="31" t="s">
        <v>264</v>
      </c>
      <c r="G409" s="31" t="s">
        <v>87</v>
      </c>
      <c r="H409" s="33" t="s">
        <v>563</v>
      </c>
      <c r="I409" s="31"/>
      <c r="J409" s="34">
        <v>44860</v>
      </c>
      <c r="K409" s="31"/>
      <c r="L409" s="31" t="s">
        <v>674</v>
      </c>
      <c r="M409" s="35"/>
      <c r="N409" s="31">
        <v>12</v>
      </c>
      <c r="O409" s="31" t="s">
        <v>210</v>
      </c>
      <c r="P409" s="30">
        <v>213000</v>
      </c>
      <c r="Q409" s="103"/>
      <c r="R409" s="35" t="s">
        <v>511</v>
      </c>
      <c r="S409" s="37"/>
      <c r="T409" s="37"/>
      <c r="U409" s="36"/>
      <c r="V409" s="87" t="s">
        <v>564</v>
      </c>
      <c r="W409" s="36">
        <f>IF(NOTA[[#This Row],[HARGA/ CTN]]="",NOTA[[#This Row],[JUMLAH_H]],NOTA[[#This Row],[HARGA/ CTN]]*NOTA[[#This Row],[C]])</f>
        <v>2556000</v>
      </c>
      <c r="X409" s="36">
        <f>IF(NOTA[[#This Row],[JUMLAH]]="","",NOTA[[#This Row],[JUMLAH]]*NOTA[[#This Row],[DISC 1]])</f>
        <v>0</v>
      </c>
      <c r="Y409" s="36">
        <f>IF(NOTA[[#This Row],[JUMLAH]]="","",(NOTA[[#This Row],[JUMLAH]]-NOTA[[#This Row],[DISC 1-]])*NOTA[[#This Row],[DISC 2]])</f>
        <v>0</v>
      </c>
      <c r="Z409" s="36">
        <f>IF(NOTA[[#This Row],[JUMLAH]]="","",NOTA[[#This Row],[DISC 1-]]+NOTA[[#This Row],[DISC 2-]])</f>
        <v>0</v>
      </c>
      <c r="AA409" s="36">
        <f>IF(NOTA[[#This Row],[JUMLAH]]="","",NOTA[[#This Row],[JUMLAH]]-NOTA[[#This Row],[DISC]])</f>
        <v>2556000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09" s="36">
        <f>IF(OR(NOTA[[#This Row],[QTY]]="",NOTA[[#This Row],[HARGA SATUAN]]="",),"",NOTA[[#This Row],[QTY]]*NOTA[[#This Row],[HARGA SATUAN]])</f>
        <v>2556000</v>
      </c>
      <c r="AF409" s="34">
        <f ca="1">IF(NOTA[ID_H]="","",INDEX(NOTA[TANGGAL],MATCH(,INDIRECT(ADDRESS(ROW(NOTA[TANGGAL]),COLUMN(NOTA[TANGGAL]))&amp;":"&amp;ADDRESS(ROW(),COLUMN(NOTA[TANGGAL]))),-1)))</f>
        <v>44860</v>
      </c>
      <c r="AG409" s="38" t="str">
        <f ca="1">IF(NOTA[[#This Row],[NAMA BARANG]]="","",INDEX(NOTA[SUPPLIER],MATCH(,INDIRECT(ADDRESS(ROW(NOTA[ID]),COLUMN(NOTA[ID]))&amp;":"&amp;ADDRESS(ROW(),COLUMN(NOTA[ID]))),-1)))</f>
        <v>COMBI</v>
      </c>
      <c r="AH409" s="16">
        <f ca="1">IF(NOTA[[#This Row],[ID]]="","",COUNTIF(NOTA[ID_H],NOTA[[#This Row],[ID_H]]))</f>
        <v>2</v>
      </c>
      <c r="AI409" s="16">
        <f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92</v>
      </c>
      <c r="E410" s="32"/>
      <c r="F410" s="31"/>
      <c r="G410" s="31"/>
      <c r="H410" s="33"/>
      <c r="I410" s="31"/>
      <c r="J410" s="34"/>
      <c r="K410" s="31"/>
      <c r="L410" s="31" t="s">
        <v>510</v>
      </c>
      <c r="M410" s="35">
        <v>1</v>
      </c>
      <c r="N410" s="31">
        <v>6</v>
      </c>
      <c r="O410" s="31" t="s">
        <v>210</v>
      </c>
      <c r="P410" s="30">
        <v>195000</v>
      </c>
      <c r="Q410" s="103"/>
      <c r="R410" s="35" t="s">
        <v>565</v>
      </c>
      <c r="S410" s="37"/>
      <c r="T410" s="37"/>
      <c r="U410" s="36"/>
      <c r="V410" s="87"/>
      <c r="W410" s="36">
        <f>IF(NOTA[[#This Row],[HARGA/ CTN]]="",NOTA[[#This Row],[JUMLAH_H]],NOTA[[#This Row],[HARGA/ CTN]]*NOTA[[#This Row],[C]])</f>
        <v>1170000</v>
      </c>
      <c r="X410" s="36">
        <f>IF(NOTA[[#This Row],[JUMLAH]]="","",NOTA[[#This Row],[JUMLAH]]*NOTA[[#This Row],[DISC 1]])</f>
        <v>0</v>
      </c>
      <c r="Y410" s="36">
        <f>IF(NOTA[[#This Row],[JUMLAH]]="","",(NOTA[[#This Row],[JUMLAH]]-NOTA[[#This Row],[DISC 1-]])*NOTA[[#This Row],[DISC 2]])</f>
        <v>0</v>
      </c>
      <c r="Z410" s="36">
        <f>IF(NOTA[[#This Row],[JUMLAH]]="","",NOTA[[#This Row],[DISC 1-]]+NOTA[[#This Row],[DISC 2-]])</f>
        <v>0</v>
      </c>
      <c r="AA410" s="36">
        <f>IF(NOTA[[#This Row],[JUMLAH]]="","",NOTA[[#This Row],[JUMLAH]]-NOTA[[#This Row],[DISC]])</f>
        <v>1170000</v>
      </c>
      <c r="AB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10" s="36">
        <f>IF(OR(NOTA[[#This Row],[QTY]]="",NOTA[[#This Row],[HARGA SATUAN]]="",),"",NOTA[[#This Row],[QTY]]*NOTA[[#This Row],[HARGA SATUAN]])</f>
        <v>1170000</v>
      </c>
      <c r="AF410" s="34">
        <f ca="1">IF(NOTA[ID_H]="","",INDEX(NOTA[TANGGAL],MATCH(,INDIRECT(ADDRESS(ROW(NOTA[TANGGAL]),COLUMN(NOTA[TANGGAL]))&amp;":"&amp;ADDRESS(ROW(),COLUMN(NOTA[TANGGAL]))),-1)))</f>
        <v>44860</v>
      </c>
      <c r="AG410" s="38" t="str">
        <f ca="1">IF(NOTA[[#This Row],[NAMA BARANG]]="","",INDEX(NOTA[SUPPLIER],MATCH(,INDIRECT(ADDRESS(ROW(NOTA[ID]),COLUMN(NOTA[ID]))&amp;":"&amp;ADDRESS(ROW(),COLUMN(NOTA[ID]))),-1)))</f>
        <v>COMBI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 t="str">
        <f ca="1">IF(NOTA[[#This Row],[NAMA BARANG]]="","",INDEX(NOTA[ID],MATCH(,INDIRECT(ADDRESS(ROW(NOTA[ID]),COLUMN(NOTA[ID]))&amp;":"&amp;ADDRESS(ROW(),COLUMN(NOTA[ID]))),-1)))</f>
        <v/>
      </c>
      <c r="E411" s="32"/>
      <c r="F411" s="31"/>
      <c r="G411" s="31"/>
      <c r="H411" s="33"/>
      <c r="I411" s="31"/>
      <c r="J411" s="34"/>
      <c r="K411" s="31"/>
      <c r="L411" s="31"/>
      <c r="M411" s="35"/>
      <c r="N411" s="31"/>
      <c r="O411" s="31"/>
      <c r="P411" s="30"/>
      <c r="Q411" s="103"/>
      <c r="R411" s="35"/>
      <c r="S411" s="37"/>
      <c r="T411" s="37"/>
      <c r="U411" s="36"/>
      <c r="V411" s="87"/>
      <c r="W411" s="36" t="str">
        <f>IF(NOTA[[#This Row],[HARGA/ CTN]]="",NOTA[[#This Row],[JUMLAH_H]],NOTA[[#This Row],[HARGA/ CTN]]*NOTA[[#This Row],[C]])</f>
        <v/>
      </c>
      <c r="X411" s="36" t="str">
        <f>IF(NOTA[[#This Row],[JUMLAH]]="","",NOTA[[#This Row],[JUMLAH]]*NOTA[[#This Row],[DISC 1]])</f>
        <v/>
      </c>
      <c r="Y411" s="36" t="str">
        <f>IF(NOTA[[#This Row],[JUMLAH]]="","",(NOTA[[#This Row],[JUMLAH]]-NOTA[[#This Row],[DISC 1-]])*NOTA[[#This Row],[DISC 2]])</f>
        <v/>
      </c>
      <c r="Z411" s="36" t="str">
        <f>IF(NOTA[[#This Row],[JUMLAH]]="","",NOTA[[#This Row],[DISC 1-]]+NOTA[[#This Row],[DISC 2-]])</f>
        <v/>
      </c>
      <c r="AA411" s="36" t="str">
        <f>IF(NOTA[[#This Row],[JUMLAH]]="","",NOTA[[#This Row],[JUMLAH]]-NOTA[[#This Row],[DISC]])</f>
        <v/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36" t="str">
        <f>IF(OR(NOTA[[#This Row],[QTY]]="",NOTA[[#This Row],[HARGA SATUAN]]="",),"",NOTA[[#This Row],[QTY]]*NOTA[[#This Row],[HARGA SATUAN]])</f>
        <v/>
      </c>
      <c r="AF411" s="34" t="str">
        <f ca="1">IF(NOTA[ID_H]="","",INDEX(NOTA[TANGGAL],MATCH(,INDIRECT(ADDRESS(ROW(NOTA[TANGGAL]),COLUMN(NOTA[TANGGAL]))&amp;":"&amp;ADDRESS(ROW(),COLUMN(NOTA[TANGGAL]))),-1)))</f>
        <v/>
      </c>
      <c r="AG411" s="38" t="str">
        <f ca="1">IF(NOTA[[#This Row],[NAMA BARANG]]="","",INDEX(NOTA[SUPPLIER],MATCH(,INDIRECT(ADDRESS(ROW(NOTA[ID]),COLUMN(NOTA[ID]))&amp;":"&amp;ADDRESS(ROW(),COLUMN(NOTA[ID]))),-1)))</f>
        <v/>
      </c>
      <c r="AH411" s="16" t="str">
        <f ca="1">IF(NOTA[[#This Row],[ID]]="","",COUNTIF(NOTA[ID_H],NOTA[[#This Row],[ID_H]]))</f>
        <v/>
      </c>
      <c r="AI411" s="16" t="str">
        <f ca="1">IF(NOTA[[#This Row],[TGL.NOTA]]="",IF(NOTA[[#This Row],[SUPPLIER_H]]="","",AI410),MONTH(NOTA[[#This Row],[TGL.NOTA]]))</f>
        <v/>
      </c>
      <c r="AJ411" s="16"/>
    </row>
    <row r="412" spans="1:36" ht="20.100000000000001" customHeight="1" x14ac:dyDescent="0.25">
      <c r="A412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12" s="39" t="e">
        <f ca="1">IF(NOTA[[#This Row],[ID_P]]="","",MATCH(NOTA[[#This Row],[ID_P]],[1]!B_MSK[N_ID],0))</f>
        <v>#REF!</v>
      </c>
      <c r="D412" s="39">
        <f ca="1">IF(NOTA[[#This Row],[NAMA BARANG]]="","",INDEX(NOTA[ID],MATCH(,INDIRECT(ADDRESS(ROW(NOTA[ID]),COLUMN(NOTA[ID]))&amp;":"&amp;ADDRESS(ROW(),COLUMN(NOTA[ID]))),-1)))</f>
        <v>93</v>
      </c>
      <c r="E412" s="51">
        <v>44861</v>
      </c>
      <c r="F412" s="31" t="s">
        <v>23</v>
      </c>
      <c r="G412" s="31" t="s">
        <v>24</v>
      </c>
      <c r="H412" s="33" t="s">
        <v>513</v>
      </c>
      <c r="I412" s="31" t="s">
        <v>520</v>
      </c>
      <c r="J412" s="44">
        <v>44854</v>
      </c>
      <c r="K412" s="42"/>
      <c r="L412" s="31" t="s">
        <v>514</v>
      </c>
      <c r="M412" s="45">
        <v>2</v>
      </c>
      <c r="N412" s="42"/>
      <c r="O412" s="42"/>
      <c r="P412" s="40"/>
      <c r="Q412" s="162">
        <v>850000</v>
      </c>
      <c r="R412" s="35" t="s">
        <v>531</v>
      </c>
      <c r="S412" s="47">
        <v>0.17</v>
      </c>
      <c r="T412" s="47"/>
      <c r="U412" s="46"/>
      <c r="V412" s="87"/>
      <c r="W412" s="36">
        <f>IF(NOTA[[#This Row],[HARGA/ CTN]]="",NOTA[[#This Row],[JUMLAH_H]],NOTA[[#This Row],[HARGA/ CTN]]*NOTA[[#This Row],[C]])</f>
        <v>1700000</v>
      </c>
      <c r="X412" s="36">
        <f>IF(NOTA[[#This Row],[JUMLAH]]="","",NOTA[[#This Row],[JUMLAH]]*NOTA[[#This Row],[DISC 1]])</f>
        <v>289000</v>
      </c>
      <c r="Y412" s="36">
        <f>IF(NOTA[[#This Row],[JUMLAH]]="","",(NOTA[[#This Row],[JUMLAH]]-NOTA[[#This Row],[DISC 1-]])*NOTA[[#This Row],[DISC 2]])</f>
        <v>0</v>
      </c>
      <c r="Z412" s="36">
        <f>IF(NOTA[[#This Row],[JUMLAH]]="","",NOTA[[#This Row],[DISC 1-]]+NOTA[[#This Row],[DISC 2-]])</f>
        <v>289000</v>
      </c>
      <c r="AA412" s="36">
        <f>IF(NOTA[[#This Row],[JUMLAH]]="","",NOTA[[#This Row],[JUMLAH]]-NOTA[[#This Row],[DISC]])</f>
        <v>1411000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12" s="36" t="str">
        <f>IF(OR(NOTA[[#This Row],[QTY]]="",NOTA[[#This Row],[HARGA SATUAN]]="",),"",NOTA[[#This Row],[QTY]]*NOTA[[#This Row],[HARGA SATUAN]])</f>
        <v/>
      </c>
      <c r="AF412" s="34">
        <f ca="1">IF(NOTA[ID_H]="","",INDEX(NOTA[TANGGAL],MATCH(,INDIRECT(ADDRESS(ROW(NOTA[TANGGAL]),COLUMN(NOTA[TANGGAL]))&amp;":"&amp;ADDRESS(ROW(),COLUMN(NOTA[TANGGAL]))),-1)))</f>
        <v>44861</v>
      </c>
      <c r="AG412" s="38" t="str">
        <f ca="1">IF(NOTA[[#This Row],[NAMA BARANG]]="","",INDEX(NOTA[SUPPLIER],MATCH(,INDIRECT(ADDRESS(ROW(NOTA[ID]),COLUMN(NOTA[ID]))&amp;":"&amp;ADDRESS(ROW(),COLUMN(NOTA[ID]))),-1)))</f>
        <v>KENKO SINAR INDONESIA</v>
      </c>
      <c r="AH412" s="16">
        <f ca="1">IF(NOTA[[#This Row],[ID]]="","",COUNTIF(NOTA[ID_H],NOTA[[#This Row],[ID_H]]))</f>
        <v>7</v>
      </c>
      <c r="AI412" s="16">
        <f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93</v>
      </c>
      <c r="E413" s="51"/>
      <c r="F413" s="31"/>
      <c r="G413" s="31"/>
      <c r="H413" s="33"/>
      <c r="I413" s="42"/>
      <c r="J413" s="44"/>
      <c r="K413" s="42"/>
      <c r="L413" s="31" t="s">
        <v>515</v>
      </c>
      <c r="M413" s="45">
        <v>1</v>
      </c>
      <c r="N413" s="42"/>
      <c r="O413" s="31"/>
      <c r="P413" s="40"/>
      <c r="Q413" s="162">
        <v>800000</v>
      </c>
      <c r="R413" s="35" t="s">
        <v>531</v>
      </c>
      <c r="S413" s="47">
        <v>0.17</v>
      </c>
      <c r="T413" s="47"/>
      <c r="U413" s="46"/>
      <c r="V413" s="87"/>
      <c r="W413" s="36">
        <f>IF(NOTA[[#This Row],[HARGA/ CTN]]="",NOTA[[#This Row],[JUMLAH_H]],NOTA[[#This Row],[HARGA/ CTN]]*NOTA[[#This Row],[C]])</f>
        <v>800000</v>
      </c>
      <c r="X413" s="36">
        <f>IF(NOTA[[#This Row],[JUMLAH]]="","",NOTA[[#This Row],[JUMLAH]]*NOTA[[#This Row],[DISC 1]])</f>
        <v>136000</v>
      </c>
      <c r="Y413" s="36">
        <f>IF(NOTA[[#This Row],[JUMLAH]]="","",(NOTA[[#This Row],[JUMLAH]]-NOTA[[#This Row],[DISC 1-]])*NOTA[[#This Row],[DISC 2]])</f>
        <v>0</v>
      </c>
      <c r="Z413" s="36">
        <f>IF(NOTA[[#This Row],[JUMLAH]]="","",NOTA[[#This Row],[DISC 1-]]+NOTA[[#This Row],[DISC 2-]])</f>
        <v>136000</v>
      </c>
      <c r="AA413" s="36">
        <f>IF(NOTA[[#This Row],[JUMLAH]]="","",NOTA[[#This Row],[JUMLAH]]-NOTA[[#This Row],[DISC]])</f>
        <v>664000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13" s="36" t="str">
        <f>IF(OR(NOTA[[#This Row],[QTY]]="",NOTA[[#This Row],[HARGA SATUAN]]="",),"",NOTA[[#This Row],[QTY]]*NOTA[[#This Row],[HARGA SATUAN]])</f>
        <v/>
      </c>
      <c r="AF413" s="34">
        <f ca="1">IF(NOTA[ID_H]="","",INDEX(NOTA[TANGGAL],MATCH(,INDIRECT(ADDRESS(ROW(NOTA[TANGGAL]),COLUMN(NOTA[TANGGAL]))&amp;":"&amp;ADDRESS(ROW(),COLUMN(NOTA[TANGGAL]))),-1)))</f>
        <v>44861</v>
      </c>
      <c r="AG413" s="38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93</v>
      </c>
      <c r="E414" s="51"/>
      <c r="F414" s="42"/>
      <c r="G414" s="42"/>
      <c r="H414" s="43"/>
      <c r="I414" s="42"/>
      <c r="J414" s="44"/>
      <c r="K414" s="42"/>
      <c r="L414" s="31" t="s">
        <v>516</v>
      </c>
      <c r="M414" s="45">
        <v>2</v>
      </c>
      <c r="N414" s="42"/>
      <c r="O414" s="42"/>
      <c r="P414" s="40"/>
      <c r="Q414" s="162">
        <v>1584000</v>
      </c>
      <c r="R414" s="35" t="s">
        <v>166</v>
      </c>
      <c r="S414" s="47">
        <v>0.17</v>
      </c>
      <c r="T414" s="47"/>
      <c r="U414" s="46"/>
      <c r="V414" s="87"/>
      <c r="W414" s="36">
        <f>IF(NOTA[[#This Row],[HARGA/ CTN]]="",NOTA[[#This Row],[JUMLAH_H]],NOTA[[#This Row],[HARGA/ CTN]]*NOTA[[#This Row],[C]])</f>
        <v>3168000</v>
      </c>
      <c r="X414" s="36">
        <f>IF(NOTA[[#This Row],[JUMLAH]]="","",NOTA[[#This Row],[JUMLAH]]*NOTA[[#This Row],[DISC 1]])</f>
        <v>538560</v>
      </c>
      <c r="Y414" s="36">
        <f>IF(NOTA[[#This Row],[JUMLAH]]="","",(NOTA[[#This Row],[JUMLAH]]-NOTA[[#This Row],[DISC 1-]])*NOTA[[#This Row],[DISC 2]])</f>
        <v>0</v>
      </c>
      <c r="Z414" s="36">
        <f>IF(NOTA[[#This Row],[JUMLAH]]="","",NOTA[[#This Row],[DISC 1-]]+NOTA[[#This Row],[DISC 2-]])</f>
        <v>538560</v>
      </c>
      <c r="AA414" s="36">
        <f>IF(NOTA[[#This Row],[JUMLAH]]="","",NOTA[[#This Row],[JUMLAH]]-NOTA[[#This Row],[DISC]])</f>
        <v>2629440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14" s="36" t="str">
        <f>IF(OR(NOTA[[#This Row],[QTY]]="",NOTA[[#This Row],[HARGA SATUAN]]="",),"",NOTA[[#This Row],[QTY]]*NOTA[[#This Row],[HARGA SATUAN]])</f>
        <v/>
      </c>
      <c r="AF414" s="34">
        <f ca="1">IF(NOTA[ID_H]="","",INDEX(NOTA[TANGGAL],MATCH(,INDIRECT(ADDRESS(ROW(NOTA[TANGGAL]),COLUMN(NOTA[TANGGAL]))&amp;":"&amp;ADDRESS(ROW(),COLUMN(NOTA[TANGGAL]))),-1)))</f>
        <v>44861</v>
      </c>
      <c r="AG414" s="38" t="str">
        <f ca="1">IF(NOTA[[#This Row],[NAMA BARANG]]="","",INDEX(NOTA[SUPPLIER],MATCH(,INDIRECT(ADDRESS(ROW(NOTA[ID]),COLUMN(NOTA[ID]))&amp;":"&amp;ADDRESS(ROW(),COLUMN(NOTA[ID]))),-1)))</f>
        <v>KENKO SINAR INDONESIA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93</v>
      </c>
      <c r="E415" s="51"/>
      <c r="F415" s="31"/>
      <c r="G415" s="31"/>
      <c r="H415" s="33"/>
      <c r="I415" s="31"/>
      <c r="J415" s="44"/>
      <c r="K415" s="42"/>
      <c r="L415" s="31" t="s">
        <v>517</v>
      </c>
      <c r="M415" s="45">
        <v>1</v>
      </c>
      <c r="N415" s="42"/>
      <c r="O415" s="31"/>
      <c r="P415" s="30"/>
      <c r="Q415" s="162">
        <v>930000</v>
      </c>
      <c r="R415" s="35" t="s">
        <v>532</v>
      </c>
      <c r="S415" s="47">
        <v>0.17</v>
      </c>
      <c r="T415" s="47"/>
      <c r="U415" s="46"/>
      <c r="V415" s="87"/>
      <c r="W415" s="36">
        <f>IF(NOTA[[#This Row],[HARGA/ CTN]]="",NOTA[[#This Row],[JUMLAH_H]],NOTA[[#This Row],[HARGA/ CTN]]*NOTA[[#This Row],[C]])</f>
        <v>930000</v>
      </c>
      <c r="X415" s="36">
        <f>IF(NOTA[[#This Row],[JUMLAH]]="","",NOTA[[#This Row],[JUMLAH]]*NOTA[[#This Row],[DISC 1]])</f>
        <v>158100</v>
      </c>
      <c r="Y415" s="36">
        <f>IF(NOTA[[#This Row],[JUMLAH]]="","",(NOTA[[#This Row],[JUMLAH]]-NOTA[[#This Row],[DISC 1-]])*NOTA[[#This Row],[DISC 2]])</f>
        <v>0</v>
      </c>
      <c r="Z415" s="36">
        <f>IF(NOTA[[#This Row],[JUMLAH]]="","",NOTA[[#This Row],[DISC 1-]]+NOTA[[#This Row],[DISC 2-]])</f>
        <v>158100</v>
      </c>
      <c r="AA415" s="36">
        <f>IF(NOTA[[#This Row],[JUMLAH]]="","",NOTA[[#This Row],[JUMLAH]]-NOTA[[#This Row],[DISC]])</f>
        <v>771900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15" s="36" t="str">
        <f>IF(OR(NOTA[[#This Row],[QTY]]="",NOTA[[#This Row],[HARGA SATUAN]]="",),"",NOTA[[#This Row],[QTY]]*NOTA[[#This Row],[HARGA SATUAN]])</f>
        <v/>
      </c>
      <c r="AF415" s="34">
        <f ca="1">IF(NOTA[ID_H]="","",INDEX(NOTA[TANGGAL],MATCH(,INDIRECT(ADDRESS(ROW(NOTA[TANGGAL]),COLUMN(NOTA[TANGGAL]))&amp;":"&amp;ADDRESS(ROW(),COLUMN(NOTA[TANGGAL]))),-1)))</f>
        <v>44861</v>
      </c>
      <c r="AG415" s="38" t="str">
        <f ca="1">IF(NOTA[[#This Row],[NAMA BARANG]]="","",INDEX(NOTA[SUPPLIER],MATCH(,INDIRECT(ADDRESS(ROW(NOTA[ID]),COLUMN(NOTA[ID]))&amp;":"&amp;ADDRESS(ROW(),COLUMN(NOTA[ID]))),-1)))</f>
        <v>KENKO SINAR INDONESIA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93</v>
      </c>
      <c r="E416" s="51"/>
      <c r="F416" s="31"/>
      <c r="G416" s="31"/>
      <c r="H416" s="33"/>
      <c r="I416" s="31"/>
      <c r="J416" s="44"/>
      <c r="K416" s="42"/>
      <c r="L416" s="31" t="s">
        <v>84</v>
      </c>
      <c r="M416" s="45">
        <v>5</v>
      </c>
      <c r="N416" s="42"/>
      <c r="O416" s="42"/>
      <c r="P416" s="40"/>
      <c r="Q416" s="162">
        <v>5616000</v>
      </c>
      <c r="R416" s="35" t="s">
        <v>102</v>
      </c>
      <c r="S416" s="47">
        <v>0.17</v>
      </c>
      <c r="T416" s="47"/>
      <c r="U416" s="46"/>
      <c r="V416" s="87"/>
      <c r="W416" s="36">
        <f>IF(NOTA[[#This Row],[HARGA/ CTN]]="",NOTA[[#This Row],[JUMLAH_H]],NOTA[[#This Row],[HARGA/ CTN]]*NOTA[[#This Row],[C]])</f>
        <v>28080000</v>
      </c>
      <c r="X416" s="36">
        <f>IF(NOTA[[#This Row],[JUMLAH]]="","",NOTA[[#This Row],[JUMLAH]]*NOTA[[#This Row],[DISC 1]])</f>
        <v>4773600</v>
      </c>
      <c r="Y416" s="36">
        <f>IF(NOTA[[#This Row],[JUMLAH]]="","",(NOTA[[#This Row],[JUMLAH]]-NOTA[[#This Row],[DISC 1-]])*NOTA[[#This Row],[DISC 2]])</f>
        <v>0</v>
      </c>
      <c r="Z416" s="36">
        <f>IF(NOTA[[#This Row],[JUMLAH]]="","",NOTA[[#This Row],[DISC 1-]]+NOTA[[#This Row],[DISC 2-]])</f>
        <v>4773600</v>
      </c>
      <c r="AA416" s="36">
        <f>IF(NOTA[[#This Row],[JUMLAH]]="","",NOTA[[#This Row],[JUMLAH]]-NOTA[[#This Row],[DISC]])</f>
        <v>23306400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6" s="36" t="str">
        <f>IF(OR(NOTA[[#This Row],[QTY]]="",NOTA[[#This Row],[HARGA SATUAN]]="",),"",NOTA[[#This Row],[QTY]]*NOTA[[#This Row],[HARGA SATUAN]])</f>
        <v/>
      </c>
      <c r="AF416" s="34">
        <f ca="1">IF(NOTA[ID_H]="","",INDEX(NOTA[TANGGAL],MATCH(,INDIRECT(ADDRESS(ROW(NOTA[TANGGAL]),COLUMN(NOTA[TANGGAL]))&amp;":"&amp;ADDRESS(ROW(),COLUMN(NOTA[TANGGAL]))),-1)))</f>
        <v>44861</v>
      </c>
      <c r="AG416" s="38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93</v>
      </c>
      <c r="E417" s="51"/>
      <c r="F417" s="31"/>
      <c r="G417" s="31"/>
      <c r="H417" s="33"/>
      <c r="I417" s="31"/>
      <c r="J417" s="44"/>
      <c r="K417" s="42"/>
      <c r="L417" s="31" t="s">
        <v>518</v>
      </c>
      <c r="M417" s="45">
        <v>2</v>
      </c>
      <c r="N417" s="42"/>
      <c r="O417" s="31"/>
      <c r="P417" s="40"/>
      <c r="Q417" s="162">
        <v>5616000</v>
      </c>
      <c r="R417" s="35" t="s">
        <v>102</v>
      </c>
      <c r="S417" s="47">
        <v>0.17</v>
      </c>
      <c r="T417" s="47"/>
      <c r="U417" s="46"/>
      <c r="V417" s="87"/>
      <c r="W417" s="36">
        <f>IF(NOTA[[#This Row],[HARGA/ CTN]]="",NOTA[[#This Row],[JUMLAH_H]],NOTA[[#This Row],[HARGA/ CTN]]*NOTA[[#This Row],[C]])</f>
        <v>11232000</v>
      </c>
      <c r="X417" s="36">
        <f>IF(NOTA[[#This Row],[JUMLAH]]="","",NOTA[[#This Row],[JUMLAH]]*NOTA[[#This Row],[DISC 1]])</f>
        <v>1909440.0000000002</v>
      </c>
      <c r="Y417" s="36">
        <f>IF(NOTA[[#This Row],[JUMLAH]]="","",(NOTA[[#This Row],[JUMLAH]]-NOTA[[#This Row],[DISC 1-]])*NOTA[[#This Row],[DISC 2]])</f>
        <v>0</v>
      </c>
      <c r="Z417" s="36">
        <f>IF(NOTA[[#This Row],[JUMLAH]]="","",NOTA[[#This Row],[DISC 1-]]+NOTA[[#This Row],[DISC 2-]])</f>
        <v>1909440.0000000002</v>
      </c>
      <c r="AA417" s="36">
        <f>IF(NOTA[[#This Row],[JUMLAH]]="","",NOTA[[#This Row],[JUMLAH]]-NOTA[[#This Row],[DISC]])</f>
        <v>9322560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17" s="36" t="str">
        <f>IF(OR(NOTA[[#This Row],[QTY]]="",NOTA[[#This Row],[HARGA SATUAN]]="",),"",NOTA[[#This Row],[QTY]]*NOTA[[#This Row],[HARGA SATUAN]])</f>
        <v/>
      </c>
      <c r="AF417" s="34">
        <f ca="1">IF(NOTA[ID_H]="","",INDEX(NOTA[TANGGAL],MATCH(,INDIRECT(ADDRESS(ROW(NOTA[TANGGAL]),COLUMN(NOTA[TANGGAL]))&amp;":"&amp;ADDRESS(ROW(),COLUMN(NOTA[TANGGAL]))),-1)))</f>
        <v>44861</v>
      </c>
      <c r="AG417" s="38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93</v>
      </c>
      <c r="E418" s="51"/>
      <c r="F418" s="42"/>
      <c r="G418" s="42"/>
      <c r="H418" s="43"/>
      <c r="I418" s="42"/>
      <c r="J418" s="44"/>
      <c r="K418" s="42"/>
      <c r="L418" s="31" t="s">
        <v>519</v>
      </c>
      <c r="M418" s="45">
        <v>3</v>
      </c>
      <c r="N418" s="42"/>
      <c r="O418" s="31"/>
      <c r="P418" s="40"/>
      <c r="Q418" s="162">
        <v>1416000</v>
      </c>
      <c r="R418" s="35" t="s">
        <v>168</v>
      </c>
      <c r="S418" s="47">
        <v>0.17</v>
      </c>
      <c r="T418" s="47"/>
      <c r="U418" s="46"/>
      <c r="V418" s="87"/>
      <c r="W418" s="36">
        <f>IF(NOTA[[#This Row],[HARGA/ CTN]]="",NOTA[[#This Row],[JUMLAH_H]],NOTA[[#This Row],[HARGA/ CTN]]*NOTA[[#This Row],[C]])</f>
        <v>4248000</v>
      </c>
      <c r="X418" s="36">
        <f>IF(NOTA[[#This Row],[JUMLAH]]="","",NOTA[[#This Row],[JUMLAH]]*NOTA[[#This Row],[DISC 1]])</f>
        <v>722160</v>
      </c>
      <c r="Y418" s="36">
        <f>IF(NOTA[[#This Row],[JUMLAH]]="","",(NOTA[[#This Row],[JUMLAH]]-NOTA[[#This Row],[DISC 1-]])*NOTA[[#This Row],[DISC 2]])</f>
        <v>0</v>
      </c>
      <c r="Z418" s="36">
        <f>IF(NOTA[[#This Row],[JUMLAH]]="","",NOTA[[#This Row],[DISC 1-]]+NOTA[[#This Row],[DISC 2-]])</f>
        <v>722160</v>
      </c>
      <c r="AA418" s="36">
        <f>IF(NOTA[[#This Row],[JUMLAH]]="","",NOTA[[#This Row],[JUMLAH]]-NOTA[[#This Row],[DISC]])</f>
        <v>3525840</v>
      </c>
      <c r="AB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18" s="36" t="str">
        <f>IF(OR(NOTA[[#This Row],[QTY]]="",NOTA[[#This Row],[HARGA SATUAN]]="",),"",NOTA[[#This Row],[QTY]]*NOTA[[#This Row],[HARGA SATUAN]])</f>
        <v/>
      </c>
      <c r="AF418" s="34">
        <f ca="1">IF(NOTA[ID_H]="","",INDEX(NOTA[TANGGAL],MATCH(,INDIRECT(ADDRESS(ROW(NOTA[TANGGAL]),COLUMN(NOTA[TANGGAL]))&amp;":"&amp;ADDRESS(ROW(),COLUMN(NOTA[TANGGAL]))),-1)))</f>
        <v>44861</v>
      </c>
      <c r="AG418" s="38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 t="str">
        <f ca="1">IF(NOTA[[#This Row],[NAMA BARANG]]="","",INDEX(NOTA[ID],MATCH(,INDIRECT(ADDRESS(ROW(NOTA[ID]),COLUMN(NOTA[ID]))&amp;":"&amp;ADDRESS(ROW(),COLUMN(NOTA[ID]))),-1)))</f>
        <v/>
      </c>
      <c r="E419" s="51"/>
      <c r="F419" s="31"/>
      <c r="G419" s="31"/>
      <c r="H419" s="33"/>
      <c r="I419" s="31"/>
      <c r="J419" s="44"/>
      <c r="L419" s="31"/>
      <c r="M419" s="45"/>
      <c r="N419" s="42"/>
      <c r="O419" s="31"/>
      <c r="P419" s="40"/>
      <c r="Q419" s="162"/>
      <c r="R419" s="35"/>
      <c r="S419" s="47"/>
      <c r="T419" s="47"/>
      <c r="U419" s="46"/>
      <c r="V419" s="87"/>
      <c r="W419" s="36" t="str">
        <f>IF(NOTA[[#This Row],[HARGA/ CTN]]="",NOTA[[#This Row],[JUMLAH_H]],NOTA[[#This Row],[HARGA/ CTN]]*NOTA[[#This Row],[C]])</f>
        <v/>
      </c>
      <c r="X419" s="36" t="str">
        <f>IF(NOTA[[#This Row],[JUMLAH]]="","",NOTA[[#This Row],[JUMLAH]]*NOTA[[#This Row],[DISC 1]])</f>
        <v/>
      </c>
      <c r="Y419" s="36" t="str">
        <f>IF(NOTA[[#This Row],[JUMLAH]]="","",(NOTA[[#This Row],[JUMLAH]]-NOTA[[#This Row],[DISC 1-]])*NOTA[[#This Row],[DISC 2]])</f>
        <v/>
      </c>
      <c r="Z419" s="36" t="str">
        <f>IF(NOTA[[#This Row],[JUMLAH]]="","",NOTA[[#This Row],[DISC 1-]]+NOTA[[#This Row],[DISC 2-]])</f>
        <v/>
      </c>
      <c r="AA419" s="36" t="str">
        <f>IF(NOTA[[#This Row],[JUMLAH]]="","",NOTA[[#This Row],[JUMLAH]]-NOTA[[#This Row],[DISC]])</f>
        <v/>
      </c>
      <c r="AB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36" t="str">
        <f>IF(OR(NOTA[[#This Row],[QTY]]="",NOTA[[#This Row],[HARGA SATUAN]]="",),"",NOTA[[#This Row],[QTY]]*NOTA[[#This Row],[HARGA SATUAN]])</f>
        <v/>
      </c>
      <c r="AF419" s="34" t="str">
        <f ca="1">IF(NOTA[ID_H]="","",INDEX(NOTA[TANGGAL],MATCH(,INDIRECT(ADDRESS(ROW(NOTA[TANGGAL]),COLUMN(NOTA[TANGGAL]))&amp;":"&amp;ADDRESS(ROW(),COLUMN(NOTA[TANGGAL]))),-1)))</f>
        <v/>
      </c>
      <c r="AG419" s="38" t="str">
        <f ca="1">IF(NOTA[[#This Row],[NAMA BARANG]]="","",INDEX(NOTA[SUPPLIER],MATCH(,INDIRECT(ADDRESS(ROW(NOTA[ID]),COLUMN(NOTA[ID]))&amp;":"&amp;ADDRESS(ROW(),COLUMN(NOTA[ID]))),-1)))</f>
        <v/>
      </c>
      <c r="AH419" s="16" t="str">
        <f ca="1">IF(NOTA[[#This Row],[ID]]="","",COUNTIF(NOTA[ID_H],NOTA[[#This Row],[ID_H]]))</f>
        <v/>
      </c>
      <c r="AI419" s="16" t="str">
        <f ca="1">IF(NOTA[[#This Row],[TGL.NOTA]]="",IF(NOTA[[#This Row],[SUPPLIER_H]]="","",AI418),MONTH(NOTA[[#This Row],[TGL.NOTA]]))</f>
        <v/>
      </c>
      <c r="AJ419" s="16"/>
    </row>
    <row r="420" spans="1:36" ht="20.100000000000001" customHeight="1" x14ac:dyDescent="0.25">
      <c r="A420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20" s="39" t="e">
        <f ca="1">IF(NOTA[[#This Row],[ID_P]]="","",MATCH(NOTA[[#This Row],[ID_P]],[1]!B_MSK[N_ID],0))</f>
        <v>#REF!</v>
      </c>
      <c r="D420" s="39">
        <f ca="1">IF(NOTA[[#This Row],[NAMA BARANG]]="","",INDEX(NOTA[ID],MATCH(,INDIRECT(ADDRESS(ROW(NOTA[ID]),COLUMN(NOTA[ID]))&amp;":"&amp;ADDRESS(ROW(),COLUMN(NOTA[ID]))),-1)))</f>
        <v>94</v>
      </c>
      <c r="E420" s="51"/>
      <c r="F420" s="31" t="s">
        <v>23</v>
      </c>
      <c r="G420" s="31" t="s">
        <v>24</v>
      </c>
      <c r="H420" s="33" t="s">
        <v>521</v>
      </c>
      <c r="I420" s="31" t="s">
        <v>522</v>
      </c>
      <c r="J420" s="44">
        <v>44854</v>
      </c>
      <c r="K420" s="42"/>
      <c r="L420" s="31" t="s">
        <v>85</v>
      </c>
      <c r="M420" s="45">
        <v>1</v>
      </c>
      <c r="N420" s="42"/>
      <c r="O420" s="31"/>
      <c r="P420" s="40"/>
      <c r="Q420" s="162">
        <v>2980800</v>
      </c>
      <c r="R420" s="35" t="s">
        <v>115</v>
      </c>
      <c r="S420" s="47">
        <v>0.17</v>
      </c>
      <c r="T420" s="47"/>
      <c r="U420" s="46"/>
      <c r="V420" s="87"/>
      <c r="W420" s="36">
        <f>IF(NOTA[[#This Row],[HARGA/ CTN]]="",NOTA[[#This Row],[JUMLAH_H]],NOTA[[#This Row],[HARGA/ CTN]]*NOTA[[#This Row],[C]])</f>
        <v>2980800</v>
      </c>
      <c r="X420" s="36">
        <f>IF(NOTA[[#This Row],[JUMLAH]]="","",NOTA[[#This Row],[JUMLAH]]*NOTA[[#This Row],[DISC 1]])</f>
        <v>506736.00000000006</v>
      </c>
      <c r="Y420" s="36">
        <f>IF(NOTA[[#This Row],[JUMLAH]]="","",(NOTA[[#This Row],[JUMLAH]]-NOTA[[#This Row],[DISC 1-]])*NOTA[[#This Row],[DISC 2]])</f>
        <v>0</v>
      </c>
      <c r="Z420" s="36">
        <f>IF(NOTA[[#This Row],[JUMLAH]]="","",NOTA[[#This Row],[DISC 1-]]+NOTA[[#This Row],[DISC 2-]])</f>
        <v>506736.00000000006</v>
      </c>
      <c r="AA420" s="36">
        <f>IF(NOTA[[#This Row],[JUMLAH]]="","",NOTA[[#This Row],[JUMLAH]]-NOTA[[#This Row],[DISC]])</f>
        <v>2474064</v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0" s="36" t="str">
        <f>IF(OR(NOTA[[#This Row],[QTY]]="",NOTA[[#This Row],[HARGA SATUAN]]="",),"",NOTA[[#This Row],[QTY]]*NOTA[[#This Row],[HARGA SATUAN]])</f>
        <v/>
      </c>
      <c r="AF420" s="34">
        <f ca="1">IF(NOTA[ID_H]="","",INDEX(NOTA[TANGGAL],MATCH(,INDIRECT(ADDRESS(ROW(NOTA[TANGGAL]),COLUMN(NOTA[TANGGAL]))&amp;":"&amp;ADDRESS(ROW(),COLUMN(NOTA[TANGGAL]))),-1)))</f>
        <v>44861</v>
      </c>
      <c r="AG420" s="38" t="str">
        <f ca="1">IF(NOTA[[#This Row],[NAMA BARANG]]="","",INDEX(NOTA[SUPPLIER],MATCH(,INDIRECT(ADDRESS(ROW(NOTA[ID]),COLUMN(NOTA[ID]))&amp;":"&amp;ADDRESS(ROW(),COLUMN(NOTA[ID]))),-1)))</f>
        <v>KENKO SINAR INDONESIA</v>
      </c>
      <c r="AH420" s="16">
        <f ca="1">IF(NOTA[[#This Row],[ID]]="","",COUNTIF(NOTA[ID_H],NOTA[[#This Row],[ID_H]]))</f>
        <v>6</v>
      </c>
      <c r="AI420" s="16">
        <f>IF(NOTA[[#This Row],[TGL.NOTA]]="",IF(NOTA[[#This Row],[SUPPLIER_H]]="","",AI419),MONTH(NOTA[[#This Row],[TGL.NOTA]]))</f>
        <v>10</v>
      </c>
      <c r="AJ420" s="16"/>
    </row>
    <row r="421" spans="1:36" ht="20.100000000000001" customHeight="1" x14ac:dyDescent="0.25">
      <c r="A4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9" t="str">
        <f>IF(NOTA[[#This Row],[ID_P]]="","",MATCH(NOTA[[#This Row],[ID_P]],[1]!B_MSK[N_ID],0))</f>
        <v/>
      </c>
      <c r="D421" s="39">
        <f ca="1">IF(NOTA[[#This Row],[NAMA BARANG]]="","",INDEX(NOTA[ID],MATCH(,INDIRECT(ADDRESS(ROW(NOTA[ID]),COLUMN(NOTA[ID]))&amp;":"&amp;ADDRESS(ROW(),COLUMN(NOTA[ID]))),-1)))</f>
        <v>94</v>
      </c>
      <c r="E421" s="51"/>
      <c r="F421" s="31"/>
      <c r="G421" s="31"/>
      <c r="H421" s="33"/>
      <c r="I421" s="31"/>
      <c r="J421" s="44"/>
      <c r="K421" s="42"/>
      <c r="L421" s="31" t="s">
        <v>523</v>
      </c>
      <c r="M421" s="45">
        <v>1</v>
      </c>
      <c r="N421" s="42"/>
      <c r="O421" s="31"/>
      <c r="P421" s="40"/>
      <c r="Q421" s="162">
        <v>2280000</v>
      </c>
      <c r="R421" s="35" t="s">
        <v>161</v>
      </c>
      <c r="S421" s="47">
        <v>0.17</v>
      </c>
      <c r="T421" s="47"/>
      <c r="U421" s="46"/>
      <c r="V421" s="87"/>
      <c r="W421" s="36">
        <f>IF(NOTA[[#This Row],[HARGA/ CTN]]="",NOTA[[#This Row],[JUMLAH_H]],NOTA[[#This Row],[HARGA/ CTN]]*NOTA[[#This Row],[C]])</f>
        <v>2280000</v>
      </c>
      <c r="X421" s="36">
        <f>IF(NOTA[[#This Row],[JUMLAH]]="","",NOTA[[#This Row],[JUMLAH]]*NOTA[[#This Row],[DISC 1]])</f>
        <v>387600</v>
      </c>
      <c r="Y421" s="36">
        <f>IF(NOTA[[#This Row],[JUMLAH]]="","",(NOTA[[#This Row],[JUMLAH]]-NOTA[[#This Row],[DISC 1-]])*NOTA[[#This Row],[DISC 2]])</f>
        <v>0</v>
      </c>
      <c r="Z421" s="36">
        <f>IF(NOTA[[#This Row],[JUMLAH]]="","",NOTA[[#This Row],[DISC 1-]]+NOTA[[#This Row],[DISC 2-]])</f>
        <v>387600</v>
      </c>
      <c r="AA421" s="36">
        <f>IF(NOTA[[#This Row],[JUMLAH]]="","",NOTA[[#This Row],[JUMLAH]]-NOTA[[#This Row],[DISC]])</f>
        <v>1892400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21" s="36" t="str">
        <f>IF(OR(NOTA[[#This Row],[QTY]]="",NOTA[[#This Row],[HARGA SATUAN]]="",),"",NOTA[[#This Row],[QTY]]*NOTA[[#This Row],[HARGA SATUAN]])</f>
        <v/>
      </c>
      <c r="AF421" s="34">
        <f ca="1">IF(NOTA[ID_H]="","",INDEX(NOTA[TANGGAL],MATCH(,INDIRECT(ADDRESS(ROW(NOTA[TANGGAL]),COLUMN(NOTA[TANGGAL]))&amp;":"&amp;ADDRESS(ROW(),COLUMN(NOTA[TANGGAL]))),-1)))</f>
        <v>44861</v>
      </c>
      <c r="AG421" s="38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>
        <f ca="1"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94</v>
      </c>
      <c r="E422" s="51"/>
      <c r="F422" s="31"/>
      <c r="G422" s="31"/>
      <c r="H422" s="33"/>
      <c r="I422" s="42"/>
      <c r="J422" s="44"/>
      <c r="K422" s="42"/>
      <c r="L422" s="31" t="s">
        <v>524</v>
      </c>
      <c r="M422" s="45">
        <v>1</v>
      </c>
      <c r="N422" s="42"/>
      <c r="O422" s="31"/>
      <c r="P422" s="40"/>
      <c r="Q422" s="162">
        <v>2764800</v>
      </c>
      <c r="R422" s="35" t="s">
        <v>102</v>
      </c>
      <c r="S422" s="47">
        <v>0.17</v>
      </c>
      <c r="T422" s="47"/>
      <c r="U422" s="46"/>
      <c r="V422" s="87"/>
      <c r="W422" s="36">
        <f>IF(NOTA[[#This Row],[HARGA/ CTN]]="",NOTA[[#This Row],[JUMLAH_H]],NOTA[[#This Row],[HARGA/ CTN]]*NOTA[[#This Row],[C]])</f>
        <v>2764800</v>
      </c>
      <c r="X422" s="36">
        <f>IF(NOTA[[#This Row],[JUMLAH]]="","",NOTA[[#This Row],[JUMLAH]]*NOTA[[#This Row],[DISC 1]])</f>
        <v>470016.00000000006</v>
      </c>
      <c r="Y422" s="36">
        <f>IF(NOTA[[#This Row],[JUMLAH]]="","",(NOTA[[#This Row],[JUMLAH]]-NOTA[[#This Row],[DISC 1-]])*NOTA[[#This Row],[DISC 2]])</f>
        <v>0</v>
      </c>
      <c r="Z422" s="36">
        <f>IF(NOTA[[#This Row],[JUMLAH]]="","",NOTA[[#This Row],[DISC 1-]]+NOTA[[#This Row],[DISC 2-]])</f>
        <v>470016.00000000006</v>
      </c>
      <c r="AA422" s="36">
        <f>IF(NOTA[[#This Row],[JUMLAH]]="","",NOTA[[#This Row],[JUMLAH]]-NOTA[[#This Row],[DISC]])</f>
        <v>2294784</v>
      </c>
      <c r="AB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2" s="36" t="str">
        <f>IF(OR(NOTA[[#This Row],[QTY]]="",NOTA[[#This Row],[HARGA SATUAN]]="",),"",NOTA[[#This Row],[QTY]]*NOTA[[#This Row],[HARGA SATUAN]])</f>
        <v/>
      </c>
      <c r="AF422" s="34">
        <f ca="1">IF(NOTA[ID_H]="","",INDEX(NOTA[TANGGAL],MATCH(,INDIRECT(ADDRESS(ROW(NOTA[TANGGAL]),COLUMN(NOTA[TANGGAL]))&amp;":"&amp;ADDRESS(ROW(),COLUMN(NOTA[TANGGAL]))),-1)))</f>
        <v>44861</v>
      </c>
      <c r="AG422" s="38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>
        <f ca="1">IF(NOTA[[#This Row],[NAMA BARANG]]="","",INDEX(NOTA[ID],MATCH(,INDIRECT(ADDRESS(ROW(NOTA[ID]),COLUMN(NOTA[ID]))&amp;":"&amp;ADDRESS(ROW(),COLUMN(NOTA[ID]))),-1)))</f>
        <v>94</v>
      </c>
      <c r="E423" s="51"/>
      <c r="F423" s="31"/>
      <c r="G423" s="31"/>
      <c r="H423" s="33"/>
      <c r="I423" s="42"/>
      <c r="J423" s="44"/>
      <c r="K423" s="42"/>
      <c r="L423" s="31" t="s">
        <v>525</v>
      </c>
      <c r="M423" s="45">
        <v>2</v>
      </c>
      <c r="N423" s="42"/>
      <c r="O423" s="31"/>
      <c r="P423" s="40"/>
      <c r="Q423" s="162">
        <v>1375000</v>
      </c>
      <c r="R423" s="35" t="s">
        <v>530</v>
      </c>
      <c r="S423" s="47">
        <v>0.17</v>
      </c>
      <c r="T423" s="47"/>
      <c r="U423" s="46"/>
      <c r="V423" s="87"/>
      <c r="W423" s="36">
        <f>IF(NOTA[[#This Row],[HARGA/ CTN]]="",NOTA[[#This Row],[JUMLAH_H]],NOTA[[#This Row],[HARGA/ CTN]]*NOTA[[#This Row],[C]])</f>
        <v>2750000</v>
      </c>
      <c r="X423" s="36">
        <f>IF(NOTA[[#This Row],[JUMLAH]]="","",NOTA[[#This Row],[JUMLAH]]*NOTA[[#This Row],[DISC 1]])</f>
        <v>467500.00000000006</v>
      </c>
      <c r="Y423" s="36">
        <f>IF(NOTA[[#This Row],[JUMLAH]]="","",(NOTA[[#This Row],[JUMLAH]]-NOTA[[#This Row],[DISC 1-]])*NOTA[[#This Row],[DISC 2]])</f>
        <v>0</v>
      </c>
      <c r="Z423" s="36">
        <f>IF(NOTA[[#This Row],[JUMLAH]]="","",NOTA[[#This Row],[DISC 1-]]+NOTA[[#This Row],[DISC 2-]])</f>
        <v>467500.00000000006</v>
      </c>
      <c r="AA423" s="36">
        <f>IF(NOTA[[#This Row],[JUMLAH]]="","",NOTA[[#This Row],[JUMLAH]]-NOTA[[#This Row],[DISC]])</f>
        <v>2282500</v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3" s="36" t="str">
        <f>IF(OR(NOTA[[#This Row],[QTY]]="",NOTA[[#This Row],[HARGA SATUAN]]="",),"",NOTA[[#This Row],[QTY]]*NOTA[[#This Row],[HARGA SATUAN]])</f>
        <v/>
      </c>
      <c r="AF423" s="34">
        <f ca="1">IF(NOTA[ID_H]="","",INDEX(NOTA[TANGGAL],MATCH(,INDIRECT(ADDRESS(ROW(NOTA[TANGGAL]),COLUMN(NOTA[TANGGAL]))&amp;":"&amp;ADDRESS(ROW(),COLUMN(NOTA[TANGGAL]))),-1)))</f>
        <v>44861</v>
      </c>
      <c r="AG423" s="38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>
        <f ca="1">IF(NOTA[[#This Row],[TGL.NOTA]]="",IF(NOTA[[#This Row],[SUPPLIER_H]]="","",AI422),MONTH(NOTA[[#This Row],[TGL.NOTA]]))</f>
        <v>10</v>
      </c>
      <c r="AJ423" s="16"/>
    </row>
    <row r="424" spans="1:36" ht="20.100000000000001" customHeight="1" x14ac:dyDescent="0.25">
      <c r="A4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9" t="str">
        <f>IF(NOTA[[#This Row],[ID_P]]="","",MATCH(NOTA[[#This Row],[ID_P]],[1]!B_MSK[N_ID],0))</f>
        <v/>
      </c>
      <c r="D424" s="39">
        <f ca="1">IF(NOTA[[#This Row],[NAMA BARANG]]="","",INDEX(NOTA[ID],MATCH(,INDIRECT(ADDRESS(ROW(NOTA[ID]),COLUMN(NOTA[ID]))&amp;":"&amp;ADDRESS(ROW(),COLUMN(NOTA[ID]))),-1)))</f>
        <v>94</v>
      </c>
      <c r="E424" s="51"/>
      <c r="F424" s="31"/>
      <c r="G424" s="31"/>
      <c r="H424" s="33"/>
      <c r="I424" s="42"/>
      <c r="J424" s="44"/>
      <c r="K424" s="42"/>
      <c r="L424" s="31" t="s">
        <v>272</v>
      </c>
      <c r="M424" s="45">
        <v>1</v>
      </c>
      <c r="N424" s="42"/>
      <c r="O424" s="31"/>
      <c r="P424" s="40"/>
      <c r="Q424" s="162">
        <v>1740000</v>
      </c>
      <c r="R424" s="35" t="s">
        <v>96</v>
      </c>
      <c r="S424" s="47">
        <v>0.17</v>
      </c>
      <c r="T424" s="47"/>
      <c r="U424" s="46"/>
      <c r="V424" s="87"/>
      <c r="W424" s="36">
        <f>IF(NOTA[[#This Row],[HARGA/ CTN]]="",NOTA[[#This Row],[JUMLAH_H]],NOTA[[#This Row],[HARGA/ CTN]]*NOTA[[#This Row],[C]])</f>
        <v>1740000</v>
      </c>
      <c r="X424" s="36">
        <f>IF(NOTA[[#This Row],[JUMLAH]]="","",NOTA[[#This Row],[JUMLAH]]*NOTA[[#This Row],[DISC 1]])</f>
        <v>295800</v>
      </c>
      <c r="Y424" s="36">
        <f>IF(NOTA[[#This Row],[JUMLAH]]="","",(NOTA[[#This Row],[JUMLAH]]-NOTA[[#This Row],[DISC 1-]])*NOTA[[#This Row],[DISC 2]])</f>
        <v>0</v>
      </c>
      <c r="Z424" s="36">
        <f>IF(NOTA[[#This Row],[JUMLAH]]="","",NOTA[[#This Row],[DISC 1-]]+NOTA[[#This Row],[DISC 2-]])</f>
        <v>295800</v>
      </c>
      <c r="AA424" s="36">
        <f>IF(NOTA[[#This Row],[JUMLAH]]="","",NOTA[[#This Row],[JUMLAH]]-NOTA[[#This Row],[DISC]])</f>
        <v>1444200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24" s="36" t="str">
        <f>IF(OR(NOTA[[#This Row],[QTY]]="",NOTA[[#This Row],[HARGA SATUAN]]="",),"",NOTA[[#This Row],[QTY]]*NOTA[[#This Row],[HARGA SATUAN]])</f>
        <v/>
      </c>
      <c r="AF424" s="34">
        <f ca="1">IF(NOTA[ID_H]="","",INDEX(NOTA[TANGGAL],MATCH(,INDIRECT(ADDRESS(ROW(NOTA[TANGGAL]),COLUMN(NOTA[TANGGAL]))&amp;":"&amp;ADDRESS(ROW(),COLUMN(NOTA[TANGGAL]))),-1)))</f>
        <v>44861</v>
      </c>
      <c r="AG424" s="38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>
        <f ca="1"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94</v>
      </c>
      <c r="E425" s="51"/>
      <c r="F425" s="31"/>
      <c r="G425" s="31"/>
      <c r="H425" s="33"/>
      <c r="I425" s="42"/>
      <c r="J425" s="44"/>
      <c r="K425" s="42"/>
      <c r="L425" s="31" t="s">
        <v>519</v>
      </c>
      <c r="M425" s="45">
        <v>2</v>
      </c>
      <c r="N425" s="42"/>
      <c r="O425" s="31"/>
      <c r="P425" s="40"/>
      <c r="Q425" s="162">
        <v>1164000</v>
      </c>
      <c r="R425" s="35" t="s">
        <v>168</v>
      </c>
      <c r="S425" s="47">
        <v>0.17</v>
      </c>
      <c r="T425" s="47"/>
      <c r="U425" s="46"/>
      <c r="V425" s="87"/>
      <c r="W425" s="36">
        <f>IF(NOTA[[#This Row],[HARGA/ CTN]]="",NOTA[[#This Row],[JUMLAH_H]],NOTA[[#This Row],[HARGA/ CTN]]*NOTA[[#This Row],[C]])</f>
        <v>2328000</v>
      </c>
      <c r="X425" s="36">
        <f>IF(NOTA[[#This Row],[JUMLAH]]="","",NOTA[[#This Row],[JUMLAH]]*NOTA[[#This Row],[DISC 1]])</f>
        <v>395760</v>
      </c>
      <c r="Y425" s="36">
        <f>IF(NOTA[[#This Row],[JUMLAH]]="","",(NOTA[[#This Row],[JUMLAH]]-NOTA[[#This Row],[DISC 1-]])*NOTA[[#This Row],[DISC 2]])</f>
        <v>0</v>
      </c>
      <c r="Z425" s="36">
        <f>IF(NOTA[[#This Row],[JUMLAH]]="","",NOTA[[#This Row],[DISC 1-]]+NOTA[[#This Row],[DISC 2-]])</f>
        <v>395760</v>
      </c>
      <c r="AA425" s="36">
        <f>IF(NOTA[[#This Row],[JUMLAH]]="","",NOTA[[#This Row],[JUMLAH]]-NOTA[[#This Row],[DISC]])</f>
        <v>1932240</v>
      </c>
      <c r="AB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25" s="36" t="str">
        <f>IF(OR(NOTA[[#This Row],[QTY]]="",NOTA[[#This Row],[HARGA SATUAN]]="",),"",NOTA[[#This Row],[QTY]]*NOTA[[#This Row],[HARGA SATUAN]])</f>
        <v/>
      </c>
      <c r="AF425" s="34">
        <f ca="1">IF(NOTA[ID_H]="","",INDEX(NOTA[TANGGAL],MATCH(,INDIRECT(ADDRESS(ROW(NOTA[TANGGAL]),COLUMN(NOTA[TANGGAL]))&amp;":"&amp;ADDRESS(ROW(),COLUMN(NOTA[TANGGAL]))),-1)))</f>
        <v>44861</v>
      </c>
      <c r="AG425" s="38" t="str">
        <f ca="1">IF(NOTA[[#This Row],[NAMA BARANG]]="","",INDEX(NOTA[SUPPLIER],MATCH(,INDIRECT(ADDRESS(ROW(NOTA[ID]),COLUMN(NOTA[ID]))&amp;":"&amp;ADDRESS(ROW(),COLUMN(NOTA[ID]))),-1)))</f>
        <v>KENKO SINAR INDONESIA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 t="str">
        <f ca="1">IF(NOTA[[#This Row],[NAMA BARANG]]="","",INDEX(NOTA[ID],MATCH(,INDIRECT(ADDRESS(ROW(NOTA[ID]),COLUMN(NOTA[ID]))&amp;":"&amp;ADDRESS(ROW(),COLUMN(NOTA[ID]))),-1)))</f>
        <v/>
      </c>
      <c r="E426" s="51"/>
      <c r="F426" s="31"/>
      <c r="G426" s="31"/>
      <c r="H426" s="33"/>
      <c r="I426" s="42"/>
      <c r="J426" s="44"/>
      <c r="K426" s="42"/>
      <c r="L426" s="31"/>
      <c r="M426" s="45"/>
      <c r="N426" s="42"/>
      <c r="O426" s="31"/>
      <c r="P426" s="40"/>
      <c r="Q426" s="162"/>
      <c r="R426" s="35"/>
      <c r="S426" s="47"/>
      <c r="T426" s="47"/>
      <c r="U426" s="46"/>
      <c r="V426" s="87"/>
      <c r="W426" s="36" t="str">
        <f>IF(NOTA[[#This Row],[HARGA/ CTN]]="",NOTA[[#This Row],[JUMLAH_H]],NOTA[[#This Row],[HARGA/ CTN]]*NOTA[[#This Row],[C]])</f>
        <v/>
      </c>
      <c r="X426" s="36" t="str">
        <f>IF(NOTA[[#This Row],[JUMLAH]]="","",NOTA[[#This Row],[JUMLAH]]*NOTA[[#This Row],[DISC 1]])</f>
        <v/>
      </c>
      <c r="Y426" s="36" t="str">
        <f>IF(NOTA[[#This Row],[JUMLAH]]="","",(NOTA[[#This Row],[JUMLAH]]-NOTA[[#This Row],[DISC 1-]])*NOTA[[#This Row],[DISC 2]])</f>
        <v/>
      </c>
      <c r="Z426" s="36" t="str">
        <f>IF(NOTA[[#This Row],[JUMLAH]]="","",NOTA[[#This Row],[DISC 1-]]+NOTA[[#This Row],[DISC 2-]])</f>
        <v/>
      </c>
      <c r="AA426" s="36" t="str">
        <f>IF(NOTA[[#This Row],[JUMLAH]]="","",NOTA[[#This Row],[JUMLAH]]-NOTA[[#This Row],[DISC]])</f>
        <v/>
      </c>
      <c r="AB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36" t="str">
        <f>IF(OR(NOTA[[#This Row],[QTY]]="",NOTA[[#This Row],[HARGA SATUAN]]="",),"",NOTA[[#This Row],[QTY]]*NOTA[[#This Row],[HARGA SATUAN]])</f>
        <v/>
      </c>
      <c r="AF426" s="34" t="str">
        <f ca="1">IF(NOTA[ID_H]="","",INDEX(NOTA[TANGGAL],MATCH(,INDIRECT(ADDRESS(ROW(NOTA[TANGGAL]),COLUMN(NOTA[TANGGAL]))&amp;":"&amp;ADDRESS(ROW(),COLUMN(NOTA[TANGGAL]))),-1)))</f>
        <v/>
      </c>
      <c r="AG426" s="38" t="str">
        <f ca="1">IF(NOTA[[#This Row],[NAMA BARANG]]="","",INDEX(NOTA[SUPPLIER],MATCH(,INDIRECT(ADDRESS(ROW(NOTA[ID]),COLUMN(NOTA[ID]))&amp;":"&amp;ADDRESS(ROW(),COLUMN(NOTA[ID]))),-1)))</f>
        <v/>
      </c>
      <c r="AH426" s="16" t="str">
        <f ca="1">IF(NOTA[[#This Row],[ID]]="","",COUNTIF(NOTA[ID_H],NOTA[[#This Row],[ID_H]]))</f>
        <v/>
      </c>
      <c r="AI426" s="16" t="str">
        <f ca="1">IF(NOTA[[#This Row],[TGL.NOTA]]="",IF(NOTA[[#This Row],[SUPPLIER_H]]="","",AI425),MONTH(NOTA[[#This Row],[TGL.NOTA]]))</f>
        <v/>
      </c>
      <c r="AJ426" s="16"/>
    </row>
    <row r="427" spans="1:36" ht="20.100000000000001" customHeight="1" x14ac:dyDescent="0.25">
      <c r="A427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27" s="39" t="e">
        <f ca="1">IF(NOTA[[#This Row],[ID_P]]="","",MATCH(NOTA[[#This Row],[ID_P]],[1]!B_MSK[N_ID],0))</f>
        <v>#REF!</v>
      </c>
      <c r="D427" s="39">
        <f ca="1">IF(NOTA[[#This Row],[NAMA BARANG]]="","",INDEX(NOTA[ID],MATCH(,INDIRECT(ADDRESS(ROW(NOTA[ID]),COLUMN(NOTA[ID]))&amp;":"&amp;ADDRESS(ROW(),COLUMN(NOTA[ID]))),-1)))</f>
        <v>95</v>
      </c>
      <c r="E427" s="51"/>
      <c r="F427" s="31" t="s">
        <v>23</v>
      </c>
      <c r="G427" s="31" t="s">
        <v>24</v>
      </c>
      <c r="H427" s="33" t="s">
        <v>526</v>
      </c>
      <c r="I427" s="31" t="s">
        <v>527</v>
      </c>
      <c r="J427" s="34">
        <v>44855</v>
      </c>
      <c r="K427" s="42"/>
      <c r="L427" s="31" t="s">
        <v>528</v>
      </c>
      <c r="M427" s="45">
        <v>2</v>
      </c>
      <c r="N427" s="42"/>
      <c r="O427" s="31"/>
      <c r="P427" s="40"/>
      <c r="Q427" s="162">
        <v>2052000</v>
      </c>
      <c r="R427" s="35" t="s">
        <v>94</v>
      </c>
      <c r="S427" s="47">
        <v>0.17</v>
      </c>
      <c r="T427" s="47"/>
      <c r="U427" s="46"/>
      <c r="V427" s="87"/>
      <c r="W427" s="36">
        <f>IF(NOTA[[#This Row],[HARGA/ CTN]]="",NOTA[[#This Row],[JUMLAH_H]],NOTA[[#This Row],[HARGA/ CTN]]*NOTA[[#This Row],[C]])</f>
        <v>4104000</v>
      </c>
      <c r="X427" s="36">
        <f>IF(NOTA[[#This Row],[JUMLAH]]="","",NOTA[[#This Row],[JUMLAH]]*NOTA[[#This Row],[DISC 1]])</f>
        <v>697680</v>
      </c>
      <c r="Y427" s="36">
        <f>IF(NOTA[[#This Row],[JUMLAH]]="","",(NOTA[[#This Row],[JUMLAH]]-NOTA[[#This Row],[DISC 1-]])*NOTA[[#This Row],[DISC 2]])</f>
        <v>0</v>
      </c>
      <c r="Z427" s="36">
        <f>IF(NOTA[[#This Row],[JUMLAH]]="","",NOTA[[#This Row],[DISC 1-]]+NOTA[[#This Row],[DISC 2-]])</f>
        <v>697680</v>
      </c>
      <c r="AA427" s="36">
        <f>IF(NOTA[[#This Row],[JUMLAH]]="","",NOTA[[#This Row],[JUMLAH]]-NOTA[[#This Row],[DISC]])</f>
        <v>3406320</v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27" s="36" t="str">
        <f>IF(OR(NOTA[[#This Row],[QTY]]="",NOTA[[#This Row],[HARGA SATUAN]]="",),"",NOTA[[#This Row],[QTY]]*NOTA[[#This Row],[HARGA SATUAN]])</f>
        <v/>
      </c>
      <c r="AF427" s="34">
        <f ca="1">IF(NOTA[ID_H]="","",INDEX(NOTA[TANGGAL],MATCH(,INDIRECT(ADDRESS(ROW(NOTA[TANGGAL]),COLUMN(NOTA[TANGGAL]))&amp;":"&amp;ADDRESS(ROW(),COLUMN(NOTA[TANGGAL]))),-1)))</f>
        <v>44861</v>
      </c>
      <c r="AG427" s="38" t="str">
        <f ca="1">IF(NOTA[[#This Row],[NAMA BARANG]]="","",INDEX(NOTA[SUPPLIER],MATCH(,INDIRECT(ADDRESS(ROW(NOTA[ID]),COLUMN(NOTA[ID]))&amp;":"&amp;ADDRESS(ROW(),COLUMN(NOTA[ID]))),-1)))</f>
        <v>KENKO SINAR INDONESIA</v>
      </c>
      <c r="AH427" s="16">
        <f ca="1">IF(NOTA[[#This Row],[ID]]="","",COUNTIF(NOTA[ID_H],NOTA[[#This Row],[ID_H]]))</f>
        <v>2</v>
      </c>
      <c r="AI427" s="16">
        <f>IF(NOTA[[#This Row],[TGL.NOTA]]="",IF(NOTA[[#This Row],[SUPPLIER_H]]="","",AI426),MONTH(NOTA[[#This Row],[TGL.NOTA]]))</f>
        <v>10</v>
      </c>
      <c r="AJ427" s="16"/>
    </row>
    <row r="428" spans="1:36" ht="20.100000000000001" customHeight="1" x14ac:dyDescent="0.25">
      <c r="A4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9" t="str">
        <f>IF(NOTA[[#This Row],[ID_P]]="","",MATCH(NOTA[[#This Row],[ID_P]],[1]!B_MSK[N_ID],0))</f>
        <v/>
      </c>
      <c r="D428" s="39">
        <f ca="1">IF(NOTA[[#This Row],[NAMA BARANG]]="","",INDEX(NOTA[ID],MATCH(,INDIRECT(ADDRESS(ROW(NOTA[ID]),COLUMN(NOTA[ID]))&amp;":"&amp;ADDRESS(ROW(),COLUMN(NOTA[ID]))),-1)))</f>
        <v>95</v>
      </c>
      <c r="E428" s="51"/>
      <c r="H428" s="24"/>
      <c r="I428" s="42"/>
      <c r="J428" s="44"/>
      <c r="K428" s="42"/>
      <c r="L428" s="31" t="s">
        <v>529</v>
      </c>
      <c r="M428" s="45">
        <v>2</v>
      </c>
      <c r="N428" s="42"/>
      <c r="O428" s="31"/>
      <c r="P428" s="40"/>
      <c r="Q428" s="162">
        <v>3758400</v>
      </c>
      <c r="R428" s="35" t="s">
        <v>102</v>
      </c>
      <c r="S428" s="47">
        <v>0.17</v>
      </c>
      <c r="T428" s="47"/>
      <c r="U428" s="46"/>
      <c r="V428" s="87"/>
      <c r="W428" s="36">
        <f>IF(NOTA[[#This Row],[HARGA/ CTN]]="",NOTA[[#This Row],[JUMLAH_H]],NOTA[[#This Row],[HARGA/ CTN]]*NOTA[[#This Row],[C]])</f>
        <v>7516800</v>
      </c>
      <c r="X428" s="36">
        <f>IF(NOTA[[#This Row],[JUMLAH]]="","",NOTA[[#This Row],[JUMLAH]]*NOTA[[#This Row],[DISC 1]])</f>
        <v>1277856</v>
      </c>
      <c r="Y428" s="36">
        <f>IF(NOTA[[#This Row],[JUMLAH]]="","",(NOTA[[#This Row],[JUMLAH]]-NOTA[[#This Row],[DISC 1-]])*NOTA[[#This Row],[DISC 2]])</f>
        <v>0</v>
      </c>
      <c r="Z428" s="36">
        <f>IF(NOTA[[#This Row],[JUMLAH]]="","",NOTA[[#This Row],[DISC 1-]]+NOTA[[#This Row],[DISC 2-]])</f>
        <v>1277856</v>
      </c>
      <c r="AA428" s="36">
        <f>IF(NOTA[[#This Row],[JUMLAH]]="","",NOTA[[#This Row],[JUMLAH]]-NOTA[[#This Row],[DISC]])</f>
        <v>6238944</v>
      </c>
      <c r="AB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28" s="36" t="str">
        <f>IF(OR(NOTA[[#This Row],[QTY]]="",NOTA[[#This Row],[HARGA SATUAN]]="",),"",NOTA[[#This Row],[QTY]]*NOTA[[#This Row],[HARGA SATUAN]])</f>
        <v/>
      </c>
      <c r="AF428" s="34">
        <f ca="1">IF(NOTA[ID_H]="","",INDEX(NOTA[TANGGAL],MATCH(,INDIRECT(ADDRESS(ROW(NOTA[TANGGAL]),COLUMN(NOTA[TANGGAL]))&amp;":"&amp;ADDRESS(ROW(),COLUMN(NOTA[TANGGAL]))),-1)))</f>
        <v>44861</v>
      </c>
      <c r="AG428" s="38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>
        <f ca="1"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 t="str">
        <f ca="1">IF(NOTA[[#This Row],[NAMA BARANG]]="","",INDEX(NOTA[ID],MATCH(,INDIRECT(ADDRESS(ROW(NOTA[ID]),COLUMN(NOTA[ID]))&amp;":"&amp;ADDRESS(ROW(),COLUMN(NOTA[ID]))),-1)))</f>
        <v/>
      </c>
      <c r="E429" s="51"/>
      <c r="F429" s="31"/>
      <c r="G429" s="31"/>
      <c r="H429" s="33"/>
      <c r="I429" s="42"/>
      <c r="J429" s="44"/>
      <c r="K429" s="42"/>
      <c r="L429" s="31"/>
      <c r="M429" s="45"/>
      <c r="N429" s="42"/>
      <c r="O429" s="31"/>
      <c r="P429" s="40"/>
      <c r="Q429" s="162"/>
      <c r="R429" s="35"/>
      <c r="S429" s="47"/>
      <c r="T429" s="47"/>
      <c r="U429" s="46"/>
      <c r="V429" s="87"/>
      <c r="W429" s="36" t="str">
        <f>IF(NOTA[[#This Row],[HARGA/ CTN]]="",NOTA[[#This Row],[JUMLAH_H]],NOTA[[#This Row],[HARGA/ CTN]]*NOTA[[#This Row],[C]])</f>
        <v/>
      </c>
      <c r="X429" s="36" t="str">
        <f>IF(NOTA[[#This Row],[JUMLAH]]="","",NOTA[[#This Row],[JUMLAH]]*NOTA[[#This Row],[DISC 1]])</f>
        <v/>
      </c>
      <c r="Y429" s="36" t="str">
        <f>IF(NOTA[[#This Row],[JUMLAH]]="","",(NOTA[[#This Row],[JUMLAH]]-NOTA[[#This Row],[DISC 1-]])*NOTA[[#This Row],[DISC 2]])</f>
        <v/>
      </c>
      <c r="Z429" s="36" t="str">
        <f>IF(NOTA[[#This Row],[JUMLAH]]="","",NOTA[[#This Row],[DISC 1-]]+NOTA[[#This Row],[DISC 2-]])</f>
        <v/>
      </c>
      <c r="AA429" s="36" t="str">
        <f>IF(NOTA[[#This Row],[JUMLAH]]="","",NOTA[[#This Row],[JUMLAH]]-NOTA[[#This Row],[DISC]])</f>
        <v/>
      </c>
      <c r="AB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36" t="str">
        <f>IF(OR(NOTA[[#This Row],[QTY]]="",NOTA[[#This Row],[HARGA SATUAN]]="",),"",NOTA[[#This Row],[QTY]]*NOTA[[#This Row],[HARGA SATUAN]])</f>
        <v/>
      </c>
      <c r="AF429" s="34" t="str">
        <f ca="1">IF(NOTA[ID_H]="","",INDEX(NOTA[TANGGAL],MATCH(,INDIRECT(ADDRESS(ROW(NOTA[TANGGAL]),COLUMN(NOTA[TANGGAL]))&amp;":"&amp;ADDRESS(ROW(),COLUMN(NOTA[TANGGAL]))),-1)))</f>
        <v/>
      </c>
      <c r="AG429" s="38" t="str">
        <f ca="1">IF(NOTA[[#This Row],[NAMA BARANG]]="","",INDEX(NOTA[SUPPLIER],MATCH(,INDIRECT(ADDRESS(ROW(NOTA[ID]),COLUMN(NOTA[ID]))&amp;":"&amp;ADDRESS(ROW(),COLUMN(NOTA[ID]))),-1)))</f>
        <v/>
      </c>
      <c r="AH429" s="16" t="str">
        <f ca="1">IF(NOTA[[#This Row],[ID]]="","",COUNTIF(NOTA[ID_H],NOTA[[#This Row],[ID_H]]))</f>
        <v/>
      </c>
      <c r="AI429" s="16" t="str">
        <f ca="1">IF(NOTA[[#This Row],[TGL.NOTA]]="",IF(NOTA[[#This Row],[SUPPLIER_H]]="","",AI428),MONTH(NOTA[[#This Row],[TGL.NOTA]]))</f>
        <v/>
      </c>
      <c r="AJ429" s="16"/>
    </row>
    <row r="430" spans="1:36" ht="20.100000000000001" customHeight="1" x14ac:dyDescent="0.25">
      <c r="A430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30" s="39" t="e">
        <f ca="1">IF(NOTA[[#This Row],[ID_P]]="","",MATCH(NOTA[[#This Row],[ID_P]],[1]!B_MSK[N_ID],0))</f>
        <v>#REF!</v>
      </c>
      <c r="D430" s="39">
        <f ca="1">IF(NOTA[[#This Row],[NAMA BARANG]]="","",INDEX(NOTA[ID],MATCH(,INDIRECT(ADDRESS(ROW(NOTA[ID]),COLUMN(NOTA[ID]))&amp;":"&amp;ADDRESS(ROW(),COLUMN(NOTA[ID]))),-1)))</f>
        <v>96</v>
      </c>
      <c r="E430" s="51"/>
      <c r="F430" s="31" t="s">
        <v>28</v>
      </c>
      <c r="G430" s="31" t="s">
        <v>24</v>
      </c>
      <c r="H430" s="33" t="s">
        <v>533</v>
      </c>
      <c r="I430" s="31"/>
      <c r="J430" s="44">
        <v>44856</v>
      </c>
      <c r="K430" s="42"/>
      <c r="L430" s="31" t="s">
        <v>534</v>
      </c>
      <c r="M430" s="45">
        <v>5</v>
      </c>
      <c r="N430" s="42">
        <v>250</v>
      </c>
      <c r="O430" s="31" t="s">
        <v>482</v>
      </c>
      <c r="P430" s="40">
        <v>24000</v>
      </c>
      <c r="Q430" s="162"/>
      <c r="R430" s="35"/>
      <c r="S430" s="47"/>
      <c r="T430" s="47"/>
      <c r="U430" s="46"/>
      <c r="V430" s="87"/>
      <c r="W430" s="36">
        <f>IF(NOTA[[#This Row],[HARGA/ CTN]]="",NOTA[[#This Row],[JUMLAH_H]],NOTA[[#This Row],[HARGA/ CTN]]*NOTA[[#This Row],[C]])</f>
        <v>6000000</v>
      </c>
      <c r="X430" s="36">
        <f>IF(NOTA[[#This Row],[JUMLAH]]="","",NOTA[[#This Row],[JUMLAH]]*NOTA[[#This Row],[DISC 1]])</f>
        <v>0</v>
      </c>
      <c r="Y430" s="36">
        <f>IF(NOTA[[#This Row],[JUMLAH]]="","",(NOTA[[#This Row],[JUMLAH]]-NOTA[[#This Row],[DISC 1-]])*NOTA[[#This Row],[DISC 2]])</f>
        <v>0</v>
      </c>
      <c r="Z430" s="36">
        <f>IF(NOTA[[#This Row],[JUMLAH]]="","",NOTA[[#This Row],[DISC 1-]]+NOTA[[#This Row],[DISC 2-]])</f>
        <v>0</v>
      </c>
      <c r="AA430" s="36">
        <f>IF(NOTA[[#This Row],[JUMLAH]]="","",NOTA[[#This Row],[JUMLAH]]-NOTA[[#This Row],[DISC]])</f>
        <v>6000000</v>
      </c>
      <c r="AB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3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30" s="36">
        <f>IF(OR(NOTA[[#This Row],[QTY]]="",NOTA[[#This Row],[HARGA SATUAN]]="",),"",NOTA[[#This Row],[QTY]]*NOTA[[#This Row],[HARGA SATUAN]])</f>
        <v>6000000</v>
      </c>
      <c r="AF430" s="34">
        <f ca="1">IF(NOTA[ID_H]="","",INDEX(NOTA[TANGGAL],MATCH(,INDIRECT(ADDRESS(ROW(NOTA[TANGGAL]),COLUMN(NOTA[TANGGAL]))&amp;":"&amp;ADDRESS(ROW(),COLUMN(NOTA[TANGGAL]))),-1)))</f>
        <v>44861</v>
      </c>
      <c r="AG430" s="38" t="str">
        <f ca="1">IF(NOTA[[#This Row],[NAMA BARANG]]="","",INDEX(NOTA[SUPPLIER],MATCH(,INDIRECT(ADDRESS(ROW(NOTA[ID]),COLUMN(NOTA[ID]))&amp;":"&amp;ADDRESS(ROW(),COLUMN(NOTA[ID]))),-1)))</f>
        <v>LAYS</v>
      </c>
      <c r="AH430" s="16">
        <f ca="1">IF(NOTA[[#This Row],[ID]]="","",COUNTIF(NOTA[ID_H],NOTA[[#This Row],[ID_H]]))</f>
        <v>1</v>
      </c>
      <c r="AI430" s="16">
        <f>IF(NOTA[[#This Row],[TGL.NOTA]]="",IF(NOTA[[#This Row],[SUPPLIER_H]]="","",AI429),MONTH(NOTA[[#This Row],[TGL.NOTA]]))</f>
        <v>10</v>
      </c>
      <c r="AJ430" s="16"/>
    </row>
    <row r="431" spans="1:36" ht="20.100000000000001" customHeight="1" x14ac:dyDescent="0.25">
      <c r="A4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9" t="str">
        <f>IF(NOTA[[#This Row],[ID_P]]="","",MATCH(NOTA[[#This Row],[ID_P]],[1]!B_MSK[N_ID],0))</f>
        <v/>
      </c>
      <c r="D431" s="39" t="str">
        <f ca="1">IF(NOTA[[#This Row],[NAMA BARANG]]="","",INDEX(NOTA[ID],MATCH(,INDIRECT(ADDRESS(ROW(NOTA[ID]),COLUMN(NOTA[ID]))&amp;":"&amp;ADDRESS(ROW(),COLUMN(NOTA[ID]))),-1)))</f>
        <v/>
      </c>
      <c r="E431" s="51"/>
      <c r="F431" s="31"/>
      <c r="G431" s="31"/>
      <c r="H431" s="33"/>
      <c r="I431" s="42"/>
      <c r="J431" s="44"/>
      <c r="K431" s="42"/>
      <c r="L431" s="31"/>
      <c r="M431" s="45"/>
      <c r="N431" s="42"/>
      <c r="O431" s="31"/>
      <c r="P431" s="40"/>
      <c r="Q431" s="162"/>
      <c r="R431" s="35"/>
      <c r="S431" s="47"/>
      <c r="T431" s="47"/>
      <c r="U431" s="46"/>
      <c r="V431" s="87"/>
      <c r="W431" s="36" t="str">
        <f>IF(NOTA[[#This Row],[HARGA/ CTN]]="",NOTA[[#This Row],[JUMLAH_H]],NOTA[[#This Row],[HARGA/ CTN]]*NOTA[[#This Row],[C]])</f>
        <v/>
      </c>
      <c r="X431" s="36" t="str">
        <f>IF(NOTA[[#This Row],[JUMLAH]]="","",NOTA[[#This Row],[JUMLAH]]*NOTA[[#This Row],[DISC 1]])</f>
        <v/>
      </c>
      <c r="Y431" s="36" t="str">
        <f>IF(NOTA[[#This Row],[JUMLAH]]="","",(NOTA[[#This Row],[JUMLAH]]-NOTA[[#This Row],[DISC 1-]])*NOTA[[#This Row],[DISC 2]])</f>
        <v/>
      </c>
      <c r="Z431" s="36" t="str">
        <f>IF(NOTA[[#This Row],[JUMLAH]]="","",NOTA[[#This Row],[DISC 1-]]+NOTA[[#This Row],[DISC 2-]])</f>
        <v/>
      </c>
      <c r="AA431" s="36" t="str">
        <f>IF(NOTA[[#This Row],[JUMLAH]]="","",NOTA[[#This Row],[JUMLAH]]-NOTA[[#This Row],[DISC]])</f>
        <v/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36" t="str">
        <f>IF(OR(NOTA[[#This Row],[QTY]]="",NOTA[[#This Row],[HARGA SATUAN]]="",),"",NOTA[[#This Row],[QTY]]*NOTA[[#This Row],[HARGA SATUAN]])</f>
        <v/>
      </c>
      <c r="AF431" s="34" t="str">
        <f ca="1">IF(NOTA[ID_H]="","",INDEX(NOTA[TANGGAL],MATCH(,INDIRECT(ADDRESS(ROW(NOTA[TANGGAL]),COLUMN(NOTA[TANGGAL]))&amp;":"&amp;ADDRESS(ROW(),COLUMN(NOTA[TANGGAL]))),-1)))</f>
        <v/>
      </c>
      <c r="AG431" s="38" t="str">
        <f ca="1">IF(NOTA[[#This Row],[NAMA BARANG]]="","",INDEX(NOTA[SUPPLIER],MATCH(,INDIRECT(ADDRESS(ROW(NOTA[ID]),COLUMN(NOTA[ID]))&amp;":"&amp;ADDRESS(ROW(),COLUMN(NOTA[ID]))),-1)))</f>
        <v/>
      </c>
      <c r="AH431" s="16" t="str">
        <f ca="1">IF(NOTA[[#This Row],[ID]]="","",COUNTIF(NOTA[ID_H],NOTA[[#This Row],[ID_H]]))</f>
        <v/>
      </c>
      <c r="AI431" s="16" t="str">
        <f ca="1">IF(NOTA[[#This Row],[TGL.NOTA]]="",IF(NOTA[[#This Row],[SUPPLIER_H]]="","",AI430),MONTH(NOTA[[#This Row],[TGL.NOTA]]))</f>
        <v/>
      </c>
      <c r="AJ431" s="16"/>
    </row>
    <row r="432" spans="1:36" ht="20.100000000000001" customHeight="1" x14ac:dyDescent="0.25">
      <c r="A432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32" s="39" t="e">
        <f ca="1">IF(NOTA[[#This Row],[ID_P]]="","",MATCH(NOTA[[#This Row],[ID_P]],[1]!B_MSK[N_ID],0))</f>
        <v>#REF!</v>
      </c>
      <c r="D432" s="39">
        <f ca="1">IF(NOTA[[#This Row],[NAMA BARANG]]="","",INDEX(NOTA[ID],MATCH(,INDIRECT(ADDRESS(ROW(NOTA[ID]),COLUMN(NOTA[ID]))&amp;":"&amp;ADDRESS(ROW(),COLUMN(NOTA[ID]))),-1)))</f>
        <v>97</v>
      </c>
      <c r="E432" s="32">
        <v>44861</v>
      </c>
      <c r="F432" s="31" t="s">
        <v>254</v>
      </c>
      <c r="G432" s="31" t="s">
        <v>87</v>
      </c>
      <c r="H432" s="33" t="s">
        <v>566</v>
      </c>
      <c r="I432" s="31"/>
      <c r="J432" s="34">
        <v>44854</v>
      </c>
      <c r="K432" s="31"/>
      <c r="L432" s="31" t="s">
        <v>567</v>
      </c>
      <c r="M432" s="35">
        <v>6</v>
      </c>
      <c r="N432" s="31">
        <v>300</v>
      </c>
      <c r="O432" s="31" t="s">
        <v>90</v>
      </c>
      <c r="P432" s="30">
        <v>18250</v>
      </c>
      <c r="Q432" s="103"/>
      <c r="R432" s="35"/>
      <c r="S432" s="37"/>
      <c r="T432" s="37"/>
      <c r="U432" s="36"/>
      <c r="V432" s="87"/>
      <c r="W432" s="36">
        <f>IF(NOTA[[#This Row],[HARGA/ CTN]]="",NOTA[[#This Row],[JUMLAH_H]],NOTA[[#This Row],[HARGA/ CTN]]*NOTA[[#This Row],[C]])</f>
        <v>5475000</v>
      </c>
      <c r="X432" s="36">
        <f>IF(NOTA[[#This Row],[JUMLAH]]="","",NOTA[[#This Row],[JUMLAH]]*NOTA[[#This Row],[DISC 1]])</f>
        <v>0</v>
      </c>
      <c r="Y432" s="36">
        <f>IF(NOTA[[#This Row],[JUMLAH]]="","",(NOTA[[#This Row],[JUMLAH]]-NOTA[[#This Row],[DISC 1-]])*NOTA[[#This Row],[DISC 2]])</f>
        <v>0</v>
      </c>
      <c r="Z432" s="36">
        <f>IF(NOTA[[#This Row],[JUMLAH]]="","",NOTA[[#This Row],[DISC 1-]]+NOTA[[#This Row],[DISC 2-]])</f>
        <v>0</v>
      </c>
      <c r="AA432" s="36">
        <f>IF(NOTA[[#This Row],[JUMLAH]]="","",NOTA[[#This Row],[JUMLAH]]-NOTA[[#This Row],[DISC]])</f>
        <v>5475000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2" s="36">
        <f>IF(OR(NOTA[[#This Row],[QTY]]="",NOTA[[#This Row],[HARGA SATUAN]]="",),"",NOTA[[#This Row],[QTY]]*NOTA[[#This Row],[HARGA SATUAN]])</f>
        <v>5475000</v>
      </c>
      <c r="AF432" s="34">
        <f ca="1">IF(NOTA[ID_H]="","",INDEX(NOTA[TANGGAL],MATCH(,INDIRECT(ADDRESS(ROW(NOTA[TANGGAL]),COLUMN(NOTA[TANGGAL]))&amp;":"&amp;ADDRESS(ROW(),COLUMN(NOTA[TANGGAL]))),-1)))</f>
        <v>44861</v>
      </c>
      <c r="AG432" s="38" t="str">
        <f ca="1">IF(NOTA[[#This Row],[NAMA BARANG]]="","",INDEX(NOTA[SUPPLIER],MATCH(,INDIRECT(ADDRESS(ROW(NOTA[ID]),COLUMN(NOTA[ID]))&amp;":"&amp;ADDRESS(ROW(),COLUMN(NOTA[ID]))),-1)))</f>
        <v>GRAFINDO</v>
      </c>
      <c r="AH432" s="16">
        <f ca="1">IF(NOTA[[#This Row],[ID]]="","",COUNTIF(NOTA[ID_H],NOTA[[#This Row],[ID_H]]))</f>
        <v>1</v>
      </c>
      <c r="AI432" s="16">
        <f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26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0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98</v>
      </c>
      <c r="E434" s="26"/>
      <c r="F434" s="31" t="s">
        <v>254</v>
      </c>
      <c r="G434" s="31" t="s">
        <v>87</v>
      </c>
      <c r="H434" s="33" t="s">
        <v>568</v>
      </c>
      <c r="I434" s="31"/>
      <c r="J434" s="34">
        <v>44855</v>
      </c>
      <c r="K434" s="31"/>
      <c r="L434" s="31" t="s">
        <v>569</v>
      </c>
      <c r="M434" s="35">
        <v>1</v>
      </c>
      <c r="N434" s="31">
        <v>50</v>
      </c>
      <c r="O434" s="31" t="s">
        <v>90</v>
      </c>
      <c r="P434" s="30">
        <v>18250</v>
      </c>
      <c r="Q434" s="103"/>
      <c r="R434" s="35" t="s">
        <v>257</v>
      </c>
      <c r="S434" s="37"/>
      <c r="T434" s="37"/>
      <c r="U434" s="36"/>
      <c r="V434" s="87"/>
      <c r="W434" s="36">
        <f>IF(NOTA[[#This Row],[HARGA/ CTN]]="",NOTA[[#This Row],[JUMLAH_H]],NOTA[[#This Row],[HARGA/ CTN]]*NOTA[[#This Row],[C]])</f>
        <v>912500</v>
      </c>
      <c r="X434" s="36">
        <f>IF(NOTA[[#This Row],[JUMLAH]]="","",NOTA[[#This Row],[JUMLAH]]*NOTA[[#This Row],[DISC 1]])</f>
        <v>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0</v>
      </c>
      <c r="AA434" s="36">
        <f>IF(NOTA[[#This Row],[JUMLAH]]="","",NOTA[[#This Row],[JUMLAH]]-NOTA[[#This Row],[DISC]])</f>
        <v>912500</v>
      </c>
      <c r="AB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34" s="36">
        <f>IF(OR(NOTA[[#This Row],[QTY]]="",NOTA[[#This Row],[HARGA SATUAN]]="",),"",NOTA[[#This Row],[QTY]]*NOTA[[#This Row],[HARGA SATUAN]])</f>
        <v>912500</v>
      </c>
      <c r="AF434" s="34">
        <f ca="1">IF(NOTA[ID_H]="","",INDEX(NOTA[TANGGAL],MATCH(,INDIRECT(ADDRESS(ROW(NOTA[TANGGAL]),COLUMN(NOTA[TANGGAL]))&amp;":"&amp;ADDRESS(ROW(),COLUMN(NOTA[TANGGAL]))),-1)))</f>
        <v>44861</v>
      </c>
      <c r="AG434" s="30" t="str">
        <f ca="1">IF(NOTA[[#This Row],[NAMA BARANG]]="","",INDEX(NOTA[SUPPLIER],MATCH(,INDIRECT(ADDRESS(ROW(NOTA[ID]),COLUMN(NOTA[ID]))&amp;":"&amp;ADDRESS(ROW(),COLUMN(NOTA[ID]))),-1)))</f>
        <v>GRAFINDO</v>
      </c>
      <c r="AH434" s="16">
        <f ca="1">IF(NOTA[[#This Row],[ID]]="","",COUNTIF(NOTA[ID_H],NOTA[[#This Row],[ID_H]]))</f>
        <v>1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 t="str">
        <f ca="1">IF(NOTA[[#This Row],[NAMA BARANG]]="","",INDEX(NOTA[ID],MATCH(,INDIRECT(ADDRESS(ROW(NOTA[ID]),COLUMN(NOTA[ID]))&amp;":"&amp;ADDRESS(ROW(),COLUMN(NOTA[ID]))),-1)))</f>
        <v/>
      </c>
      <c r="E435" s="26"/>
      <c r="F435" s="31"/>
      <c r="G435" s="31"/>
      <c r="H435" s="33"/>
      <c r="I435" s="31"/>
      <c r="J435" s="34"/>
      <c r="K435" s="31"/>
      <c r="L435" s="31"/>
      <c r="M435" s="35"/>
      <c r="N435" s="31"/>
      <c r="O435" s="31"/>
      <c r="P435" s="30"/>
      <c r="Q435" s="103"/>
      <c r="R435" s="35"/>
      <c r="S435" s="37"/>
      <c r="T435" s="37"/>
      <c r="U435" s="36"/>
      <c r="V435" s="87"/>
      <c r="W435" s="36" t="str">
        <f>IF(NOTA[[#This Row],[HARGA/ CTN]]="",NOTA[[#This Row],[JUMLAH_H]],NOTA[[#This Row],[HARGA/ CTN]]*NOTA[[#This Row],[C]])</f>
        <v/>
      </c>
      <c r="X435" s="36" t="str">
        <f>IF(NOTA[[#This Row],[JUMLAH]]="","",NOTA[[#This Row],[JUMLAH]]*NOTA[[#This Row],[DISC 1]])</f>
        <v/>
      </c>
      <c r="Y435" s="36" t="str">
        <f>IF(NOTA[[#This Row],[JUMLAH]]="","",(NOTA[[#This Row],[JUMLAH]]-NOTA[[#This Row],[DISC 1-]])*NOTA[[#This Row],[DISC 2]])</f>
        <v/>
      </c>
      <c r="Z435" s="36" t="str">
        <f>IF(NOTA[[#This Row],[JUMLAH]]="","",NOTA[[#This Row],[DISC 1-]]+NOTA[[#This Row],[DISC 2-]])</f>
        <v/>
      </c>
      <c r="AA435" s="36" t="str">
        <f>IF(NOTA[[#This Row],[JUMLAH]]="","",NOTA[[#This Row],[JUMLAH]]-NOTA[[#This Row],[DISC]])</f>
        <v/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6" t="str">
        <f>IF(OR(NOTA[[#This Row],[QTY]]="",NOTA[[#This Row],[HARGA SATUAN]]="",),"",NOTA[[#This Row],[QTY]]*NOTA[[#This Row],[HARGA SATUAN]])</f>
        <v/>
      </c>
      <c r="AF435" s="34" t="str">
        <f ca="1">IF(NOTA[ID_H]="","",INDEX(NOTA[TANGGAL],MATCH(,INDIRECT(ADDRESS(ROW(NOTA[TANGGAL]),COLUMN(NOTA[TANGGAL]))&amp;":"&amp;ADDRESS(ROW(),COLUMN(NOTA[TANGGAL]))),-1)))</f>
        <v/>
      </c>
      <c r="AG435" s="30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 t="str">
        <f ca="1">IF(NOTA[[#This Row],[TGL.NOTA]]="",IF(NOTA[[#This Row],[SUPPLIER_H]]="","",AI434),MONTH(NOTA[[#This Row],[TGL.NOTA]]))</f>
        <v/>
      </c>
      <c r="AJ435" s="16"/>
    </row>
    <row r="436" spans="1:36" ht="20.100000000000001" customHeight="1" x14ac:dyDescent="0.25">
      <c r="A436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36" s="39" t="e">
        <f ca="1">IF(NOTA[[#This Row],[ID_P]]="","",MATCH(NOTA[[#This Row],[ID_P]],[1]!B_MSK[N_ID],0))</f>
        <v>#REF!</v>
      </c>
      <c r="D436" s="39">
        <f ca="1">IF(NOTA[[#This Row],[NAMA BARANG]]="","",INDEX(NOTA[ID],MATCH(,INDIRECT(ADDRESS(ROW(NOTA[ID]),COLUMN(NOTA[ID]))&amp;":"&amp;ADDRESS(ROW(),COLUMN(NOTA[ID]))),-1)))</f>
        <v>99</v>
      </c>
      <c r="E436" s="32">
        <v>44862</v>
      </c>
      <c r="F436" s="31" t="s">
        <v>25</v>
      </c>
      <c r="G436" s="31" t="s">
        <v>24</v>
      </c>
      <c r="H436" s="33" t="s">
        <v>608</v>
      </c>
      <c r="I436" s="31"/>
      <c r="J436" s="34">
        <v>44858</v>
      </c>
      <c r="K436" s="31"/>
      <c r="L436" s="31" t="s">
        <v>326</v>
      </c>
      <c r="M436" s="35">
        <v>20</v>
      </c>
      <c r="N436" s="31">
        <v>14400</v>
      </c>
      <c r="O436" s="31" t="s">
        <v>88</v>
      </c>
      <c r="P436" s="30">
        <v>4800</v>
      </c>
      <c r="Q436" s="103"/>
      <c r="R436" s="35" t="s">
        <v>327</v>
      </c>
      <c r="S436" s="37">
        <v>0.125</v>
      </c>
      <c r="T436" s="37">
        <v>0.05</v>
      </c>
      <c r="U436" s="36"/>
      <c r="V436" s="87"/>
      <c r="W436" s="36">
        <f>IF(NOTA[[#This Row],[HARGA/ CTN]]="",NOTA[[#This Row],[JUMLAH_H]],NOTA[[#This Row],[HARGA/ CTN]]*NOTA[[#This Row],[C]])</f>
        <v>69120000</v>
      </c>
      <c r="X436" s="36">
        <f>IF(NOTA[[#This Row],[JUMLAH]]="","",NOTA[[#This Row],[JUMLAH]]*NOTA[[#This Row],[DISC 1]])</f>
        <v>8640000</v>
      </c>
      <c r="Y436" s="36">
        <f>IF(NOTA[[#This Row],[JUMLAH]]="","",(NOTA[[#This Row],[JUMLAH]]-NOTA[[#This Row],[DISC 1-]])*NOTA[[#This Row],[DISC 2]])</f>
        <v>3024000</v>
      </c>
      <c r="Z436" s="36">
        <f>IF(NOTA[[#This Row],[JUMLAH]]="","",NOTA[[#This Row],[DISC 1-]]+NOTA[[#This Row],[DISC 2-]])</f>
        <v>11664000</v>
      </c>
      <c r="AA436" s="36">
        <f>IF(NOTA[[#This Row],[JUMLAH]]="","",NOTA[[#This Row],[JUMLAH]]-NOTA[[#This Row],[DISC]])</f>
        <v>57456000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36" s="36">
        <f>IF(OR(NOTA[[#This Row],[QTY]]="",NOTA[[#This Row],[HARGA SATUAN]]="",),"",NOTA[[#This Row],[QTY]]*NOTA[[#This Row],[HARGA SATUAN]])</f>
        <v>69120000</v>
      </c>
      <c r="AF436" s="34">
        <f ca="1">IF(NOTA[ID_H]="","",INDEX(NOTA[TANGGAL],MATCH(,INDIRECT(ADDRESS(ROW(NOTA[TANGGAL]),COLUMN(NOTA[TANGGAL]))&amp;":"&amp;ADDRESS(ROW(),COLUMN(NOTA[TANGGAL]))),-1)))</f>
        <v>44862</v>
      </c>
      <c r="AG436" s="30" t="str">
        <f ca="1">IF(NOTA[[#This Row],[NAMA BARANG]]="","",INDEX(NOTA[SUPPLIER],MATCH(,INDIRECT(ADDRESS(ROW(NOTA[ID]),COLUMN(NOTA[ID]))&amp;":"&amp;ADDRESS(ROW(),COLUMN(NOTA[ID]))),-1)))</f>
        <v>ATALI MAKMUR</v>
      </c>
      <c r="AH436" s="16">
        <f ca="1">IF(NOTA[[#This Row],[ID]]="","",COUNTIF(NOTA[ID_H],NOTA[[#This Row],[ID_H]]))</f>
        <v>2</v>
      </c>
      <c r="AI436" s="16">
        <f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99</v>
      </c>
      <c r="E437" s="32"/>
      <c r="F437" s="31"/>
      <c r="G437" s="31"/>
      <c r="H437" s="33"/>
      <c r="I437" s="31"/>
      <c r="J437" s="34"/>
      <c r="K437" s="31"/>
      <c r="L437" s="31" t="s">
        <v>475</v>
      </c>
      <c r="M437" s="35">
        <v>5</v>
      </c>
      <c r="N437" s="31">
        <v>150</v>
      </c>
      <c r="O437" s="31" t="s">
        <v>220</v>
      </c>
      <c r="P437" s="30">
        <v>104400</v>
      </c>
      <c r="Q437" s="103"/>
      <c r="R437" s="35" t="s">
        <v>476</v>
      </c>
      <c r="S437" s="37">
        <v>0.125</v>
      </c>
      <c r="T437" s="37">
        <v>0.05</v>
      </c>
      <c r="U437" s="36"/>
      <c r="V437" s="87"/>
      <c r="W437" s="36">
        <f>IF(NOTA[[#This Row],[HARGA/ CTN]]="",NOTA[[#This Row],[JUMLAH_H]],NOTA[[#This Row],[HARGA/ CTN]]*NOTA[[#This Row],[C]])</f>
        <v>15660000</v>
      </c>
      <c r="X437" s="36">
        <f>IF(NOTA[[#This Row],[JUMLAH]]="","",NOTA[[#This Row],[JUMLAH]]*NOTA[[#This Row],[DISC 1]])</f>
        <v>1957500</v>
      </c>
      <c r="Y437" s="36">
        <f>IF(NOTA[[#This Row],[JUMLAH]]="","",(NOTA[[#This Row],[JUMLAH]]-NOTA[[#This Row],[DISC 1-]])*NOTA[[#This Row],[DISC 2]])</f>
        <v>685125</v>
      </c>
      <c r="Z437" s="36">
        <f>IF(NOTA[[#This Row],[JUMLAH]]="","",NOTA[[#This Row],[DISC 1-]]+NOTA[[#This Row],[DISC 2-]])</f>
        <v>2642625</v>
      </c>
      <c r="AA437" s="36">
        <f>IF(NOTA[[#This Row],[JUMLAH]]="","",NOTA[[#This Row],[JUMLAH]]-NOTA[[#This Row],[DISC]])</f>
        <v>13017375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37" s="36">
        <f>IF(OR(NOTA[[#This Row],[QTY]]="",NOTA[[#This Row],[HARGA SATUAN]]="",),"",NOTA[[#This Row],[QTY]]*NOTA[[#This Row],[HARGA SATUAN]])</f>
        <v>15660000</v>
      </c>
      <c r="AF437" s="34">
        <f ca="1">IF(NOTA[ID_H]="","",INDEX(NOTA[TANGGAL],MATCH(,INDIRECT(ADDRESS(ROW(NOTA[TANGGAL]),COLUMN(NOTA[TANGGAL]))&amp;":"&amp;ADDRESS(ROW(),COLUMN(NOTA[TANGGAL]))),-1)))</f>
        <v>44862</v>
      </c>
      <c r="AG437" s="30" t="str">
        <f ca="1">IF(NOTA[[#This Row],[NAMA BARANG]]="","",INDEX(NOTA[SUPPLIER],MATCH(,INDIRECT(ADDRESS(ROW(NOTA[ID]),COLUMN(NOTA[ID]))&amp;":"&amp;ADDRESS(ROW(),COLUMN(NOTA[ID]))),-1)))</f>
        <v>ATALI MAKMUR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0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100</v>
      </c>
      <c r="E439" s="32"/>
      <c r="F439" s="31" t="s">
        <v>25</v>
      </c>
      <c r="G439" s="31" t="s">
        <v>24</v>
      </c>
      <c r="H439" s="33" t="s">
        <v>609</v>
      </c>
      <c r="I439" s="31"/>
      <c r="J439" s="34">
        <v>44858</v>
      </c>
      <c r="K439" s="31"/>
      <c r="L439" s="31" t="s">
        <v>209</v>
      </c>
      <c r="M439" s="35">
        <v>1</v>
      </c>
      <c r="N439" s="31">
        <v>36</v>
      </c>
      <c r="O439" s="31" t="s">
        <v>210</v>
      </c>
      <c r="P439" s="30">
        <v>41400</v>
      </c>
      <c r="Q439" s="103"/>
      <c r="R439" s="35" t="s">
        <v>211</v>
      </c>
      <c r="S439" s="37">
        <v>0.125</v>
      </c>
      <c r="T439" s="37">
        <v>0.05</v>
      </c>
      <c r="U439" s="36"/>
      <c r="V439" s="87"/>
      <c r="W439" s="36">
        <f>IF(NOTA[[#This Row],[HARGA/ CTN]]="",NOTA[[#This Row],[JUMLAH_H]],NOTA[[#This Row],[HARGA/ CTN]]*NOTA[[#This Row],[C]])</f>
        <v>1490400</v>
      </c>
      <c r="X439" s="36">
        <f>IF(NOTA[[#This Row],[JUMLAH]]="","",NOTA[[#This Row],[JUMLAH]]*NOTA[[#This Row],[DISC 1]])</f>
        <v>186300</v>
      </c>
      <c r="Y439" s="36">
        <f>IF(NOTA[[#This Row],[JUMLAH]]="","",(NOTA[[#This Row],[JUMLAH]]-NOTA[[#This Row],[DISC 1-]])*NOTA[[#This Row],[DISC 2]])</f>
        <v>65205</v>
      </c>
      <c r="Z439" s="36">
        <f>IF(NOTA[[#This Row],[JUMLAH]]="","",NOTA[[#This Row],[DISC 1-]]+NOTA[[#This Row],[DISC 2-]])</f>
        <v>251505</v>
      </c>
      <c r="AA439" s="36">
        <f>IF(NOTA[[#This Row],[JUMLAH]]="","",NOTA[[#This Row],[JUMLAH]]-NOTA[[#This Row],[DISC]])</f>
        <v>1238895</v>
      </c>
      <c r="AB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39" s="36">
        <f>IF(OR(NOTA[[#This Row],[QTY]]="",NOTA[[#This Row],[HARGA SATUAN]]="",),"",NOTA[[#This Row],[QTY]]*NOTA[[#This Row],[HARGA SATUAN]])</f>
        <v>1490400</v>
      </c>
      <c r="AF439" s="34">
        <f ca="1">IF(NOTA[ID_H]="","",INDEX(NOTA[TANGGAL],MATCH(,INDIRECT(ADDRESS(ROW(NOTA[TANGGAL]),COLUMN(NOTA[TANGGAL]))&amp;":"&amp;ADDRESS(ROW(),COLUMN(NOTA[TANGGAL]))),-1)))</f>
        <v>44862</v>
      </c>
      <c r="AG439" s="30" t="str">
        <f ca="1">IF(NOTA[[#This Row],[NAMA BARANG]]="","",INDEX(NOTA[SUPPLIER],MATCH(,INDIRECT(ADDRESS(ROW(NOTA[ID]),COLUMN(NOTA[ID]))&amp;":"&amp;ADDRESS(ROW(),COLUMN(NOTA[ID]))),-1)))</f>
        <v>ATALI MAKMUR</v>
      </c>
      <c r="AH439" s="16">
        <f ca="1">IF(NOTA[[#This Row],[ID]]="","",COUNTIF(NOTA[ID_H],NOTA[[#This Row],[ID_H]]))</f>
        <v>5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>
        <f ca="1">IF(NOTA[[#This Row],[NAMA BARANG]]="","",INDEX(NOTA[ID],MATCH(,INDIRECT(ADDRESS(ROW(NOTA[ID]),COLUMN(NOTA[ID]))&amp;":"&amp;ADDRESS(ROW(),COLUMN(NOTA[ID]))),-1)))</f>
        <v>100</v>
      </c>
      <c r="E440" s="32"/>
      <c r="F440" s="31"/>
      <c r="G440" s="31"/>
      <c r="H440" s="33"/>
      <c r="I440" s="31"/>
      <c r="J440" s="34"/>
      <c r="K440" s="31"/>
      <c r="L440" s="31" t="s">
        <v>449</v>
      </c>
      <c r="M440" s="35">
        <v>1</v>
      </c>
      <c r="N440" s="31">
        <v>72</v>
      </c>
      <c r="O440" s="31" t="s">
        <v>204</v>
      </c>
      <c r="P440" s="30">
        <v>21200</v>
      </c>
      <c r="Q440" s="103"/>
      <c r="R440" s="35" t="s">
        <v>450</v>
      </c>
      <c r="S440" s="37">
        <v>0.125</v>
      </c>
      <c r="T440" s="37">
        <v>0.05</v>
      </c>
      <c r="U440" s="36"/>
      <c r="V440" s="87"/>
      <c r="W440" s="36">
        <f>IF(NOTA[[#This Row],[HARGA/ CTN]]="",NOTA[[#This Row],[JUMLAH_H]],NOTA[[#This Row],[HARGA/ CTN]]*NOTA[[#This Row],[C]])</f>
        <v>1526400</v>
      </c>
      <c r="X440" s="36">
        <f>IF(NOTA[[#This Row],[JUMLAH]]="","",NOTA[[#This Row],[JUMLAH]]*NOTA[[#This Row],[DISC 1]])</f>
        <v>190800</v>
      </c>
      <c r="Y440" s="36">
        <f>IF(NOTA[[#This Row],[JUMLAH]]="","",(NOTA[[#This Row],[JUMLAH]]-NOTA[[#This Row],[DISC 1-]])*NOTA[[#This Row],[DISC 2]])</f>
        <v>66780</v>
      </c>
      <c r="Z440" s="36">
        <f>IF(NOTA[[#This Row],[JUMLAH]]="","",NOTA[[#This Row],[DISC 1-]]+NOTA[[#This Row],[DISC 2-]])</f>
        <v>257580</v>
      </c>
      <c r="AA440" s="36">
        <f>IF(NOTA[[#This Row],[JUMLAH]]="","",NOTA[[#This Row],[JUMLAH]]-NOTA[[#This Row],[DISC]])</f>
        <v>1268820</v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40" s="36">
        <f>IF(OR(NOTA[[#This Row],[QTY]]="",NOTA[[#This Row],[HARGA SATUAN]]="",),"",NOTA[[#This Row],[QTY]]*NOTA[[#This Row],[HARGA SATUAN]])</f>
        <v>1526400</v>
      </c>
      <c r="AF440" s="34">
        <f ca="1">IF(NOTA[ID_H]="","",INDEX(NOTA[TANGGAL],MATCH(,INDIRECT(ADDRESS(ROW(NOTA[TANGGAL]),COLUMN(NOTA[TANGGAL]))&amp;":"&amp;ADDRESS(ROW(),COLUMN(NOTA[TANGGAL]))),-1)))</f>
        <v>44862</v>
      </c>
      <c r="AG440" s="30" t="str">
        <f ca="1">IF(NOTA[[#This Row],[NAMA BARANG]]="","",INDEX(NOTA[SUPPLIER],MATCH(,INDIRECT(ADDRESS(ROW(NOTA[ID]),COLUMN(NOTA[ID]))&amp;":"&amp;ADDRESS(ROW(),COLUMN(NOTA[ID]))),-1)))</f>
        <v>ATALI MAKMUR</v>
      </c>
      <c r="AH440" s="16" t="str">
        <f ca="1">IF(NOTA[[#This Row],[ID]]="","",COUNTIF(NOTA[ID_H],NOTA[[#This Row],[ID_H]]))</f>
        <v/>
      </c>
      <c r="AI440" s="16">
        <f ca="1">IF(NOTA[[#This Row],[TGL.NOTA]]="",IF(NOTA[[#This Row],[SUPPLIER_H]]="","",AI439),MONTH(NOTA[[#This Row],[TGL.NOTA]]))</f>
        <v>10</v>
      </c>
      <c r="AJ440" s="16"/>
    </row>
    <row r="441" spans="1:36" ht="20.100000000000001" customHeight="1" x14ac:dyDescent="0.25">
      <c r="A4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9" t="str">
        <f>IF(NOTA[[#This Row],[ID_P]]="","",MATCH(NOTA[[#This Row],[ID_P]],[1]!B_MSK[N_ID],0))</f>
        <v/>
      </c>
      <c r="D441" s="39">
        <f ca="1">IF(NOTA[[#This Row],[NAMA BARANG]]="","",INDEX(NOTA[ID],MATCH(,INDIRECT(ADDRESS(ROW(NOTA[ID]),COLUMN(NOTA[ID]))&amp;":"&amp;ADDRESS(ROW(),COLUMN(NOTA[ID]))),-1)))</f>
        <v>100</v>
      </c>
      <c r="E441" s="32"/>
      <c r="F441" s="31"/>
      <c r="G441" s="31"/>
      <c r="H441" s="33"/>
      <c r="I441" s="31"/>
      <c r="J441" s="34"/>
      <c r="K441" s="31"/>
      <c r="L441" s="31" t="s">
        <v>429</v>
      </c>
      <c r="M441" s="35">
        <v>2</v>
      </c>
      <c r="N441" s="31">
        <v>576</v>
      </c>
      <c r="O441" s="31" t="s">
        <v>88</v>
      </c>
      <c r="P441" s="30">
        <v>2150</v>
      </c>
      <c r="Q441" s="103"/>
      <c r="R441" s="35" t="s">
        <v>430</v>
      </c>
      <c r="S441" s="37">
        <v>0.125</v>
      </c>
      <c r="T441" s="37">
        <v>0.05</v>
      </c>
      <c r="U441" s="36"/>
      <c r="V441" s="87"/>
      <c r="W441" s="36">
        <f>IF(NOTA[[#This Row],[HARGA/ CTN]]="",NOTA[[#This Row],[JUMLAH_H]],NOTA[[#This Row],[HARGA/ CTN]]*NOTA[[#This Row],[C]])</f>
        <v>1238400</v>
      </c>
      <c r="X441" s="36">
        <f>IF(NOTA[[#This Row],[JUMLAH]]="","",NOTA[[#This Row],[JUMLAH]]*NOTA[[#This Row],[DISC 1]])</f>
        <v>154800</v>
      </c>
      <c r="Y441" s="36">
        <f>IF(NOTA[[#This Row],[JUMLAH]]="","",(NOTA[[#This Row],[JUMLAH]]-NOTA[[#This Row],[DISC 1-]])*NOTA[[#This Row],[DISC 2]])</f>
        <v>54180</v>
      </c>
      <c r="Z441" s="36">
        <f>IF(NOTA[[#This Row],[JUMLAH]]="","",NOTA[[#This Row],[DISC 1-]]+NOTA[[#This Row],[DISC 2-]])</f>
        <v>208980</v>
      </c>
      <c r="AA441" s="36">
        <f>IF(NOTA[[#This Row],[JUMLAH]]="","",NOTA[[#This Row],[JUMLAH]]-NOTA[[#This Row],[DISC]])</f>
        <v>1029420</v>
      </c>
      <c r="AB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41" s="36">
        <f>IF(OR(NOTA[[#This Row],[QTY]]="",NOTA[[#This Row],[HARGA SATUAN]]="",),"",NOTA[[#This Row],[QTY]]*NOTA[[#This Row],[HARGA SATUAN]])</f>
        <v>1238400</v>
      </c>
      <c r="AF441" s="34">
        <f ca="1">IF(NOTA[ID_H]="","",INDEX(NOTA[TANGGAL],MATCH(,INDIRECT(ADDRESS(ROW(NOTA[TANGGAL]),COLUMN(NOTA[TANGGAL]))&amp;":"&amp;ADDRESS(ROW(),COLUMN(NOTA[TANGGAL]))),-1)))</f>
        <v>44862</v>
      </c>
      <c r="AG441" s="30" t="str">
        <f ca="1">IF(NOTA[[#This Row],[NAMA BARANG]]="","",INDEX(NOTA[SUPPLIER],MATCH(,INDIRECT(ADDRESS(ROW(NOTA[ID]),COLUMN(NOTA[ID]))&amp;":"&amp;ADDRESS(ROW(),COLUMN(NOTA[ID]))),-1)))</f>
        <v>ATALI MAKMUR</v>
      </c>
      <c r="AH441" s="16" t="str">
        <f ca="1">IF(NOTA[[#This Row],[ID]]="","",COUNTIF(NOTA[ID_H],NOTA[[#This Row],[ID_H]]))</f>
        <v/>
      </c>
      <c r="AI441" s="16">
        <f ca="1"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>
        <f ca="1">IF(NOTA[[#This Row],[NAMA BARANG]]="","",INDEX(NOTA[ID],MATCH(,INDIRECT(ADDRESS(ROW(NOTA[ID]),COLUMN(NOTA[ID]))&amp;":"&amp;ADDRESS(ROW(),COLUMN(NOTA[ID]))),-1)))</f>
        <v>100</v>
      </c>
      <c r="E442" s="32"/>
      <c r="F442" s="31"/>
      <c r="G442" s="31"/>
      <c r="H442" s="33"/>
      <c r="I442" s="31"/>
      <c r="J442" s="34"/>
      <c r="K442" s="31"/>
      <c r="L442" s="31" t="s">
        <v>600</v>
      </c>
      <c r="M442" s="35">
        <v>1</v>
      </c>
      <c r="N442" s="31">
        <v>288</v>
      </c>
      <c r="O442" s="31" t="s">
        <v>88</v>
      </c>
      <c r="P442" s="30">
        <v>4800</v>
      </c>
      <c r="Q442" s="103"/>
      <c r="R442" s="35" t="s">
        <v>292</v>
      </c>
      <c r="S442" s="37">
        <v>0.125</v>
      </c>
      <c r="T442" s="37">
        <v>0.05</v>
      </c>
      <c r="U442" s="36"/>
      <c r="V442" s="87"/>
      <c r="W442" s="36">
        <f>IF(NOTA[[#This Row],[HARGA/ CTN]]="",NOTA[[#This Row],[JUMLAH_H]],NOTA[[#This Row],[HARGA/ CTN]]*NOTA[[#This Row],[C]])</f>
        <v>1382400</v>
      </c>
      <c r="X442" s="36">
        <f>IF(NOTA[[#This Row],[JUMLAH]]="","",NOTA[[#This Row],[JUMLAH]]*NOTA[[#This Row],[DISC 1]])</f>
        <v>172800</v>
      </c>
      <c r="Y442" s="36">
        <f>IF(NOTA[[#This Row],[JUMLAH]]="","",(NOTA[[#This Row],[JUMLAH]]-NOTA[[#This Row],[DISC 1-]])*NOTA[[#This Row],[DISC 2]])</f>
        <v>60480</v>
      </c>
      <c r="Z442" s="36">
        <f>IF(NOTA[[#This Row],[JUMLAH]]="","",NOTA[[#This Row],[DISC 1-]]+NOTA[[#This Row],[DISC 2-]])</f>
        <v>233280</v>
      </c>
      <c r="AA442" s="36">
        <f>IF(NOTA[[#This Row],[JUMLAH]]="","",NOTA[[#This Row],[JUMLAH]]-NOTA[[#This Row],[DISC]])</f>
        <v>1149120</v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2" s="36">
        <f>IF(OR(NOTA[[#This Row],[QTY]]="",NOTA[[#This Row],[HARGA SATUAN]]="",),"",NOTA[[#This Row],[QTY]]*NOTA[[#This Row],[HARGA SATUAN]])</f>
        <v>1382400</v>
      </c>
      <c r="AF442" s="34">
        <f ca="1">IF(NOTA[ID_H]="","",INDEX(NOTA[TANGGAL],MATCH(,INDIRECT(ADDRESS(ROW(NOTA[TANGGAL]),COLUMN(NOTA[TANGGAL]))&amp;":"&amp;ADDRESS(ROW(),COLUMN(NOTA[TANGGAL]))),-1)))</f>
        <v>44862</v>
      </c>
      <c r="AG442" s="30" t="str">
        <f ca="1">IF(NOTA[[#This Row],[NAMA BARANG]]="","",INDEX(NOTA[SUPPLIER],MATCH(,INDIRECT(ADDRESS(ROW(NOTA[ID]),COLUMN(NOTA[ID]))&amp;":"&amp;ADDRESS(ROW(),COLUMN(NOTA[ID]))),-1)))</f>
        <v>ATALI MAKMUR</v>
      </c>
      <c r="AH442" s="16" t="str">
        <f ca="1">IF(NOTA[[#This Row],[ID]]="","",COUNTIF(NOTA[ID_H],NOTA[[#This Row],[ID_H]]))</f>
        <v/>
      </c>
      <c r="AI442" s="16">
        <f ca="1">IF(NOTA[[#This Row],[TGL.NOTA]]="",IF(NOTA[[#This Row],[SUPPLIER_H]]="","",AI441),MONTH(NOTA[[#This Row],[TGL.NOTA]]))</f>
        <v>10</v>
      </c>
      <c r="AJ442" s="16"/>
    </row>
    <row r="443" spans="1:36" ht="20.100000000000001" customHeight="1" x14ac:dyDescent="0.25">
      <c r="A4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9" t="str">
        <f>IF(NOTA[[#This Row],[ID_P]]="","",MATCH(NOTA[[#This Row],[ID_P]],[1]!B_MSK[N_ID],0))</f>
        <v/>
      </c>
      <c r="D443" s="39">
        <f ca="1">IF(NOTA[[#This Row],[NAMA BARANG]]="","",INDEX(NOTA[ID],MATCH(,INDIRECT(ADDRESS(ROW(NOTA[ID]),COLUMN(NOTA[ID]))&amp;":"&amp;ADDRESS(ROW(),COLUMN(NOTA[ID]))),-1)))</f>
        <v>100</v>
      </c>
      <c r="E443" s="32"/>
      <c r="F443" s="31"/>
      <c r="G443" s="31"/>
      <c r="H443" s="33"/>
      <c r="I443" s="31"/>
      <c r="J443" s="34"/>
      <c r="K443" s="31"/>
      <c r="L443" s="31" t="s">
        <v>610</v>
      </c>
      <c r="M443" s="35">
        <v>1</v>
      </c>
      <c r="N443" s="31">
        <v>288</v>
      </c>
      <c r="O443" s="31" t="s">
        <v>88</v>
      </c>
      <c r="P443" s="30">
        <v>4800</v>
      </c>
      <c r="Q443" s="103"/>
      <c r="R443" s="35" t="s">
        <v>292</v>
      </c>
      <c r="S443" s="37">
        <v>0.125</v>
      </c>
      <c r="T443" s="37">
        <v>0.05</v>
      </c>
      <c r="U443" s="36"/>
      <c r="V443" s="87"/>
      <c r="W443" s="36">
        <f>IF(NOTA[[#This Row],[HARGA/ CTN]]="",NOTA[[#This Row],[JUMLAH_H]],NOTA[[#This Row],[HARGA/ CTN]]*NOTA[[#This Row],[C]])</f>
        <v>1382400</v>
      </c>
      <c r="X443" s="36">
        <f>IF(NOTA[[#This Row],[JUMLAH]]="","",NOTA[[#This Row],[JUMLAH]]*NOTA[[#This Row],[DISC 1]])</f>
        <v>172800</v>
      </c>
      <c r="Y443" s="36">
        <f>IF(NOTA[[#This Row],[JUMLAH]]="","",(NOTA[[#This Row],[JUMLAH]]-NOTA[[#This Row],[DISC 1-]])*NOTA[[#This Row],[DISC 2]])</f>
        <v>60480</v>
      </c>
      <c r="Z443" s="36">
        <f>IF(NOTA[[#This Row],[JUMLAH]]="","",NOTA[[#This Row],[DISC 1-]]+NOTA[[#This Row],[DISC 2-]])</f>
        <v>233280</v>
      </c>
      <c r="AA443" s="36">
        <f>IF(NOTA[[#This Row],[JUMLAH]]="","",NOTA[[#This Row],[JUMLAH]]-NOTA[[#This Row],[DISC]])</f>
        <v>1149120</v>
      </c>
      <c r="AB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4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43" s="36">
        <f>IF(OR(NOTA[[#This Row],[QTY]]="",NOTA[[#This Row],[HARGA SATUAN]]="",),"",NOTA[[#This Row],[QTY]]*NOTA[[#This Row],[HARGA SATUAN]])</f>
        <v>1382400</v>
      </c>
      <c r="AF443" s="34">
        <f ca="1">IF(NOTA[ID_H]="","",INDEX(NOTA[TANGGAL],MATCH(,INDIRECT(ADDRESS(ROW(NOTA[TANGGAL]),COLUMN(NOTA[TANGGAL]))&amp;":"&amp;ADDRESS(ROW(),COLUMN(NOTA[TANGGAL]))),-1)))</f>
        <v>44862</v>
      </c>
      <c r="AG443" s="30" t="str">
        <f ca="1">IF(NOTA[[#This Row],[NAMA BARANG]]="","",INDEX(NOTA[SUPPLIER],MATCH(,INDIRECT(ADDRESS(ROW(NOTA[ID]),COLUMN(NOTA[ID]))&amp;":"&amp;ADDRESS(ROW(),COLUMN(NOTA[ID]))),-1)))</f>
        <v>ATALI MAKMUR</v>
      </c>
      <c r="AH443" s="16" t="str">
        <f ca="1">IF(NOTA[[#This Row],[ID]]="","",COUNTIF(NOTA[ID_H],NOTA[[#This Row],[ID_H]]))</f>
        <v/>
      </c>
      <c r="AI443" s="16">
        <f ca="1"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 t="str">
        <f ca="1">IF(NOTA[[#This Row],[NAMA BARANG]]="","",INDEX(NOTA[ID],MATCH(,INDIRECT(ADDRESS(ROW(NOTA[ID]),COLUMN(NOTA[ID]))&amp;":"&amp;ADDRESS(ROW(),COLUMN(NOTA[ID]))),-1)))</f>
        <v/>
      </c>
      <c r="E444" s="32"/>
      <c r="F444" s="31"/>
      <c r="G444" s="31"/>
      <c r="H444" s="33"/>
      <c r="I444" s="31"/>
      <c r="J444" s="34"/>
      <c r="K444" s="31"/>
      <c r="L444" s="31"/>
      <c r="M444" s="35"/>
      <c r="N444" s="31"/>
      <c r="O444" s="31"/>
      <c r="P444" s="30"/>
      <c r="Q444" s="103"/>
      <c r="R444" s="35"/>
      <c r="S444" s="37"/>
      <c r="T444" s="37"/>
      <c r="U444" s="36"/>
      <c r="V444" s="87"/>
      <c r="W444" s="36" t="str">
        <f>IF(NOTA[[#This Row],[HARGA/ CTN]]="",NOTA[[#This Row],[JUMLAH_H]],NOTA[[#This Row],[HARGA/ CTN]]*NOTA[[#This Row],[C]])</f>
        <v/>
      </c>
      <c r="X444" s="36" t="str">
        <f>IF(NOTA[[#This Row],[JUMLAH]]="","",NOTA[[#This Row],[JUMLAH]]*NOTA[[#This Row],[DISC 1]])</f>
        <v/>
      </c>
      <c r="Y444" s="36" t="str">
        <f>IF(NOTA[[#This Row],[JUMLAH]]="","",(NOTA[[#This Row],[JUMLAH]]-NOTA[[#This Row],[DISC 1-]])*NOTA[[#This Row],[DISC 2]])</f>
        <v/>
      </c>
      <c r="Z444" s="36" t="str">
        <f>IF(NOTA[[#This Row],[JUMLAH]]="","",NOTA[[#This Row],[DISC 1-]]+NOTA[[#This Row],[DISC 2-]])</f>
        <v/>
      </c>
      <c r="AA444" s="36" t="str">
        <f>IF(NOTA[[#This Row],[JUMLAH]]="","",NOTA[[#This Row],[JUMLAH]]-NOTA[[#This Row],[DISC]])</f>
        <v/>
      </c>
      <c r="AB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36" t="str">
        <f>IF(OR(NOTA[[#This Row],[QTY]]="",NOTA[[#This Row],[HARGA SATUAN]]="",),"",NOTA[[#This Row],[QTY]]*NOTA[[#This Row],[HARGA SATUAN]])</f>
        <v/>
      </c>
      <c r="AF444" s="34" t="str">
        <f ca="1">IF(NOTA[ID_H]="","",INDEX(NOTA[TANGGAL],MATCH(,INDIRECT(ADDRESS(ROW(NOTA[TANGGAL]),COLUMN(NOTA[TANGGAL]))&amp;":"&amp;ADDRESS(ROW(),COLUMN(NOTA[TANGGAL]))),-1)))</f>
        <v/>
      </c>
      <c r="AG444" s="3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 t="str">
        <f ca="1">IF(NOTA[[#This Row],[TGL.NOTA]]="",IF(NOTA[[#This Row],[SUPPLIER_H]]="","",AI443),MONTH(NOTA[[#This Row],[TGL.NOTA]]))</f>
        <v/>
      </c>
      <c r="AJ444" s="16"/>
    </row>
    <row r="445" spans="1:36" ht="20.100000000000001" customHeight="1" x14ac:dyDescent="0.25">
      <c r="A445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4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45" s="39" t="e">
        <f ca="1">IF(NOTA[[#This Row],[ID_P]]="","",MATCH(NOTA[[#This Row],[ID_P]],[1]!B_MSK[N_ID],0))</f>
        <v>#REF!</v>
      </c>
      <c r="D445" s="39">
        <f ca="1">IF(NOTA[[#This Row],[NAMA BARANG]]="","",INDEX(NOTA[ID],MATCH(,INDIRECT(ADDRESS(ROW(NOTA[ID]),COLUMN(NOTA[ID]))&amp;":"&amp;ADDRESS(ROW(),COLUMN(NOTA[ID]))),-1)))</f>
        <v>101</v>
      </c>
      <c r="E445" s="32"/>
      <c r="F445" s="31" t="s">
        <v>23</v>
      </c>
      <c r="G445" s="31" t="s">
        <v>24</v>
      </c>
      <c r="H445" s="33" t="s">
        <v>611</v>
      </c>
      <c r="I445" s="31"/>
      <c r="J445" s="34">
        <v>44858</v>
      </c>
      <c r="K445" s="31"/>
      <c r="L445" s="31" t="s">
        <v>99</v>
      </c>
      <c r="M445" s="35">
        <v>3</v>
      </c>
      <c r="N445" s="31"/>
      <c r="O445" s="31"/>
      <c r="P445" s="30"/>
      <c r="Q445" s="103">
        <v>3758400</v>
      </c>
      <c r="R445" s="35" t="s">
        <v>102</v>
      </c>
      <c r="S445" s="37">
        <v>0.17</v>
      </c>
      <c r="T445" s="37"/>
      <c r="U445" s="36"/>
      <c r="V445" s="87"/>
      <c r="W445" s="36">
        <f>IF(NOTA[[#This Row],[HARGA/ CTN]]="",NOTA[[#This Row],[JUMLAH_H]],NOTA[[#This Row],[HARGA/ CTN]]*NOTA[[#This Row],[C]])</f>
        <v>11275200</v>
      </c>
      <c r="X445" s="36">
        <f>IF(NOTA[[#This Row],[JUMLAH]]="","",NOTA[[#This Row],[JUMLAH]]*NOTA[[#This Row],[DISC 1]])</f>
        <v>1916784.0000000002</v>
      </c>
      <c r="Y445" s="36">
        <f>IF(NOTA[[#This Row],[JUMLAH]]="","",(NOTA[[#This Row],[JUMLAH]]-NOTA[[#This Row],[DISC 1-]])*NOTA[[#This Row],[DISC 2]])</f>
        <v>0</v>
      </c>
      <c r="Z445" s="36">
        <f>IF(NOTA[[#This Row],[JUMLAH]]="","",NOTA[[#This Row],[DISC 1-]]+NOTA[[#This Row],[DISC 2-]])</f>
        <v>1916784.0000000002</v>
      </c>
      <c r="AA445" s="36">
        <f>IF(NOTA[[#This Row],[JUMLAH]]="","",NOTA[[#This Row],[JUMLAH]]-NOTA[[#This Row],[DISC]])</f>
        <v>9358416</v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45" s="36" t="str">
        <f>IF(OR(NOTA[[#This Row],[QTY]]="",NOTA[[#This Row],[HARGA SATUAN]]="",),"",NOTA[[#This Row],[QTY]]*NOTA[[#This Row],[HARGA SATUAN]])</f>
        <v/>
      </c>
      <c r="AF445" s="34">
        <f ca="1">IF(NOTA[ID_H]="","",INDEX(NOTA[TANGGAL],MATCH(,INDIRECT(ADDRESS(ROW(NOTA[TANGGAL]),COLUMN(NOTA[TANGGAL]))&amp;":"&amp;ADDRESS(ROW(),COLUMN(NOTA[TANGGAL]))),-1)))</f>
        <v>44862</v>
      </c>
      <c r="AG445" s="30" t="str">
        <f ca="1">IF(NOTA[[#This Row],[NAMA BARANG]]="","",INDEX(NOTA[SUPPLIER],MATCH(,INDIRECT(ADDRESS(ROW(NOTA[ID]),COLUMN(NOTA[ID]))&amp;":"&amp;ADDRESS(ROW(),COLUMN(NOTA[ID]))),-1)))</f>
        <v>KENKO SINAR INDONESIA</v>
      </c>
      <c r="AH445" s="16">
        <f ca="1">IF(NOTA[[#This Row],[ID]]="","",COUNTIF(NOTA[ID_H],NOTA[[#This Row],[ID_H]]))</f>
        <v>4</v>
      </c>
      <c r="AI445" s="16">
        <f>IF(NOTA[[#This Row],[TGL.NOTA]]="",IF(NOTA[[#This Row],[SUPPLIER_H]]="","",AI444),MONTH(NOTA[[#This Row],[TGL.NOTA]]))</f>
        <v>10</v>
      </c>
      <c r="AJ445" s="16"/>
    </row>
    <row r="446" spans="1:36" ht="20.100000000000001" customHeight="1" x14ac:dyDescent="0.25">
      <c r="A4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9" t="str">
        <f>IF(NOTA[[#This Row],[ID_P]]="","",MATCH(NOTA[[#This Row],[ID_P]],[1]!B_MSK[N_ID],0))</f>
        <v/>
      </c>
      <c r="D446" s="39">
        <f ca="1">IF(NOTA[[#This Row],[NAMA BARANG]]="","",INDEX(NOTA[ID],MATCH(,INDIRECT(ADDRESS(ROW(NOTA[ID]),COLUMN(NOTA[ID]))&amp;":"&amp;ADDRESS(ROW(),COLUMN(NOTA[ID]))),-1)))</f>
        <v>101</v>
      </c>
      <c r="E446" s="32"/>
      <c r="F446" s="31"/>
      <c r="G446" s="31"/>
      <c r="H446" s="33"/>
      <c r="I446" s="31"/>
      <c r="J446" s="34"/>
      <c r="K446" s="31"/>
      <c r="L446" s="31" t="s">
        <v>668</v>
      </c>
      <c r="M446" s="35">
        <v>2</v>
      </c>
      <c r="N446" s="31"/>
      <c r="O446" s="31"/>
      <c r="P446" s="30"/>
      <c r="Q446" s="103">
        <v>1584000</v>
      </c>
      <c r="R446" s="35" t="s">
        <v>166</v>
      </c>
      <c r="S446" s="37">
        <v>0.17</v>
      </c>
      <c r="T446" s="37"/>
      <c r="U446" s="36"/>
      <c r="V446" s="87"/>
      <c r="W446" s="36">
        <f>IF(NOTA[[#This Row],[HARGA/ CTN]]="",NOTA[[#This Row],[JUMLAH_H]],NOTA[[#This Row],[HARGA/ CTN]]*NOTA[[#This Row],[C]])</f>
        <v>3168000</v>
      </c>
      <c r="X446" s="36">
        <f>IF(NOTA[[#This Row],[JUMLAH]]="","",NOTA[[#This Row],[JUMLAH]]*NOTA[[#This Row],[DISC 1]])</f>
        <v>538560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538560</v>
      </c>
      <c r="AA446" s="36">
        <f>IF(NOTA[[#This Row],[JUMLAH]]="","",NOTA[[#This Row],[JUMLAH]]-NOTA[[#This Row],[DISC]])</f>
        <v>2629440</v>
      </c>
      <c r="AB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46" s="36" t="str">
        <f>IF(OR(NOTA[[#This Row],[QTY]]="",NOTA[[#This Row],[HARGA SATUAN]]="",),"",NOTA[[#This Row],[QTY]]*NOTA[[#This Row],[HARGA SATUAN]])</f>
        <v/>
      </c>
      <c r="AF446" s="34">
        <f ca="1">IF(NOTA[ID_H]="","",INDEX(NOTA[TANGGAL],MATCH(,INDIRECT(ADDRESS(ROW(NOTA[TANGGAL]),COLUMN(NOTA[TANGGAL]))&amp;":"&amp;ADDRESS(ROW(),COLUMN(NOTA[TANGGAL]))),-1)))</f>
        <v>44862</v>
      </c>
      <c r="AG446" s="30" t="str">
        <f ca="1">IF(NOTA[[#This Row],[NAMA BARANG]]="","",INDEX(NOTA[SUPPLIER],MATCH(,INDIRECT(ADDRESS(ROW(NOTA[ID]),COLUMN(NOTA[ID]))&amp;":"&amp;ADDRESS(ROW(),COLUMN(NOTA[ID]))),-1)))</f>
        <v>KENKO SINAR INDONESIA</v>
      </c>
      <c r="AH446" s="16" t="str">
        <f ca="1">IF(NOTA[[#This Row],[ID]]="","",COUNTIF(NOTA[ID_H],NOTA[[#This Row],[ID_H]]))</f>
        <v/>
      </c>
      <c r="AI446" s="16">
        <f ca="1"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>
        <f ca="1">IF(NOTA[[#This Row],[NAMA BARANG]]="","",INDEX(NOTA[ID],MATCH(,INDIRECT(ADDRESS(ROW(NOTA[ID]),COLUMN(NOTA[ID]))&amp;":"&amp;ADDRESS(ROW(),COLUMN(NOTA[ID]))),-1)))</f>
        <v>101</v>
      </c>
      <c r="E447" s="32"/>
      <c r="F447" s="31"/>
      <c r="G447" s="31"/>
      <c r="H447" s="33"/>
      <c r="I447" s="31"/>
      <c r="J447" s="34"/>
      <c r="K447" s="31"/>
      <c r="L447" s="31" t="s">
        <v>514</v>
      </c>
      <c r="M447" s="35">
        <v>3</v>
      </c>
      <c r="N447" s="31"/>
      <c r="O447" s="31"/>
      <c r="P447" s="30"/>
      <c r="Q447" s="103">
        <v>850000</v>
      </c>
      <c r="R447" s="35" t="s">
        <v>619</v>
      </c>
      <c r="S447" s="37">
        <v>0.17</v>
      </c>
      <c r="T447" s="37"/>
      <c r="U447" s="36"/>
      <c r="V447" s="87"/>
      <c r="W447" s="36">
        <f>IF(NOTA[[#This Row],[HARGA/ CTN]]="",NOTA[[#This Row],[JUMLAH_H]],NOTA[[#This Row],[HARGA/ CTN]]*NOTA[[#This Row],[C]])</f>
        <v>2550000</v>
      </c>
      <c r="X447" s="36">
        <f>IF(NOTA[[#This Row],[JUMLAH]]="","",NOTA[[#This Row],[JUMLAH]]*NOTA[[#This Row],[DISC 1]])</f>
        <v>433500.00000000006</v>
      </c>
      <c r="Y447" s="36">
        <f>IF(NOTA[[#This Row],[JUMLAH]]="","",(NOTA[[#This Row],[JUMLAH]]-NOTA[[#This Row],[DISC 1-]])*NOTA[[#This Row],[DISC 2]])</f>
        <v>0</v>
      </c>
      <c r="Z447" s="36">
        <f>IF(NOTA[[#This Row],[JUMLAH]]="","",NOTA[[#This Row],[DISC 1-]]+NOTA[[#This Row],[DISC 2-]])</f>
        <v>433500.00000000006</v>
      </c>
      <c r="AA447" s="36">
        <f>IF(NOTA[[#This Row],[JUMLAH]]="","",NOTA[[#This Row],[JUMLAH]]-NOTA[[#This Row],[DISC]])</f>
        <v>2116500</v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47" s="36" t="str">
        <f>IF(OR(NOTA[[#This Row],[QTY]]="",NOTA[[#This Row],[HARGA SATUAN]]="",),"",NOTA[[#This Row],[QTY]]*NOTA[[#This Row],[HARGA SATUAN]])</f>
        <v/>
      </c>
      <c r="AF447" s="34">
        <f ca="1">IF(NOTA[ID_H]="","",INDEX(NOTA[TANGGAL],MATCH(,INDIRECT(ADDRESS(ROW(NOTA[TANGGAL]),COLUMN(NOTA[TANGGAL]))&amp;":"&amp;ADDRESS(ROW(),COLUMN(NOTA[TANGGAL]))),-1)))</f>
        <v>44862</v>
      </c>
      <c r="AG447" s="30" t="str">
        <f ca="1">IF(NOTA[[#This Row],[NAMA BARANG]]="","",INDEX(NOTA[SUPPLIER],MATCH(,INDIRECT(ADDRESS(ROW(NOTA[ID]),COLUMN(NOTA[ID]))&amp;":"&amp;ADDRESS(ROW(),COLUMN(NOTA[ID]))),-1)))</f>
        <v>KENKO SINAR INDONESIA</v>
      </c>
      <c r="AH447" s="16" t="str">
        <f ca="1">IF(NOTA[[#This Row],[ID]]="","",COUNTIF(NOTA[ID_H],NOTA[[#This Row],[ID_H]]))</f>
        <v/>
      </c>
      <c r="AI447" s="16">
        <f ca="1">IF(NOTA[[#This Row],[TGL.NOTA]]="",IF(NOTA[[#This Row],[SUPPLIER_H]]="","",AI446),MONTH(NOTA[[#This Row],[TGL.NOTA]]))</f>
        <v>10</v>
      </c>
      <c r="AJ447" s="16"/>
    </row>
    <row r="448" spans="1:36" ht="20.100000000000001" customHeight="1" x14ac:dyDescent="0.25">
      <c r="A4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9" t="str">
        <f>IF(NOTA[[#This Row],[ID_P]]="","",MATCH(NOTA[[#This Row],[ID_P]],[1]!B_MSK[N_ID],0))</f>
        <v/>
      </c>
      <c r="D448" s="39">
        <f ca="1">IF(NOTA[[#This Row],[NAMA BARANG]]="","",INDEX(NOTA[ID],MATCH(,INDIRECT(ADDRESS(ROW(NOTA[ID]),COLUMN(NOTA[ID]))&amp;":"&amp;ADDRESS(ROW(),COLUMN(NOTA[ID]))),-1)))</f>
        <v>101</v>
      </c>
      <c r="E448" s="32"/>
      <c r="F448" s="31"/>
      <c r="G448" s="31"/>
      <c r="H448" s="33"/>
      <c r="I448" s="31"/>
      <c r="J448" s="34"/>
      <c r="K448" s="31"/>
      <c r="L448" s="31" t="s">
        <v>528</v>
      </c>
      <c r="M448" s="35">
        <v>1</v>
      </c>
      <c r="N448" s="31"/>
      <c r="O448" s="31"/>
      <c r="P448" s="30"/>
      <c r="Q448" s="103">
        <v>2052000</v>
      </c>
      <c r="R448" s="35" t="s">
        <v>94</v>
      </c>
      <c r="S448" s="37">
        <v>0.17</v>
      </c>
      <c r="T448" s="37"/>
      <c r="U448" s="36"/>
      <c r="V448" s="87"/>
      <c r="W448" s="36">
        <f>IF(NOTA[[#This Row],[HARGA/ CTN]]="",NOTA[[#This Row],[JUMLAH_H]],NOTA[[#This Row],[HARGA/ CTN]]*NOTA[[#This Row],[C]])</f>
        <v>2052000</v>
      </c>
      <c r="X448" s="36">
        <f>IF(NOTA[[#This Row],[JUMLAH]]="","",NOTA[[#This Row],[JUMLAH]]*NOTA[[#This Row],[DISC 1]])</f>
        <v>348840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348840</v>
      </c>
      <c r="AA448" s="36">
        <f>IF(NOTA[[#This Row],[JUMLAH]]="","",NOTA[[#This Row],[JUMLAH]]-NOTA[[#This Row],[DISC]])</f>
        <v>1703160</v>
      </c>
      <c r="AB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48" s="36" t="str">
        <f>IF(OR(NOTA[[#This Row],[QTY]]="",NOTA[[#This Row],[HARGA SATUAN]]="",),"",NOTA[[#This Row],[QTY]]*NOTA[[#This Row],[HARGA SATUAN]])</f>
        <v/>
      </c>
      <c r="AF448" s="34">
        <f ca="1">IF(NOTA[ID_H]="","",INDEX(NOTA[TANGGAL],MATCH(,INDIRECT(ADDRESS(ROW(NOTA[TANGGAL]),COLUMN(NOTA[TANGGAL]))&amp;":"&amp;ADDRESS(ROW(),COLUMN(NOTA[TANGGAL]))),-1)))</f>
        <v>44862</v>
      </c>
      <c r="AG448" s="30" t="str">
        <f ca="1">IF(NOTA[[#This Row],[NAMA BARANG]]="","",INDEX(NOTA[SUPPLIER],MATCH(,INDIRECT(ADDRESS(ROW(NOTA[ID]),COLUMN(NOTA[ID]))&amp;":"&amp;ADDRESS(ROW(),COLUMN(NOTA[ID]))),-1)))</f>
        <v>KENKO SINAR INDONESIA</v>
      </c>
      <c r="AH448" s="16" t="str">
        <f ca="1">IF(NOTA[[#This Row],[ID]]="","",COUNTIF(NOTA[ID_H],NOTA[[#This Row],[ID_H]]))</f>
        <v/>
      </c>
      <c r="AI448" s="16">
        <f ca="1"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 t="str">
        <f ca="1">IF(NOTA[[#This Row],[NAMA BARANG]]="","",INDEX(NOTA[ID],MATCH(,INDIRECT(ADDRESS(ROW(NOTA[ID]),COLUMN(NOTA[ID]))&amp;":"&amp;ADDRESS(ROW(),COLUMN(NOTA[ID]))),-1)))</f>
        <v/>
      </c>
      <c r="E449" s="32"/>
      <c r="F449" s="31"/>
      <c r="G449" s="31"/>
      <c r="H449" s="33"/>
      <c r="I449" s="31"/>
      <c r="J449" s="34"/>
      <c r="K449" s="31"/>
      <c r="L449" s="31"/>
      <c r="M449" s="35"/>
      <c r="N449" s="31"/>
      <c r="O449" s="31"/>
      <c r="P449" s="30"/>
      <c r="Q449" s="103"/>
      <c r="R449" s="35"/>
      <c r="S449" s="37"/>
      <c r="T449" s="37"/>
      <c r="U449" s="36"/>
      <c r="V449" s="87"/>
      <c r="W449" s="36" t="str">
        <f>IF(NOTA[[#This Row],[HARGA/ CTN]]="",NOTA[[#This Row],[JUMLAH_H]],NOTA[[#This Row],[HARGA/ CTN]]*NOTA[[#This Row],[C]])</f>
        <v/>
      </c>
      <c r="X449" s="36" t="str">
        <f>IF(NOTA[[#This Row],[JUMLAH]]="","",NOTA[[#This Row],[JUMLAH]]*NOTA[[#This Row],[DISC 1]])</f>
        <v/>
      </c>
      <c r="Y449" s="36" t="str">
        <f>IF(NOTA[[#This Row],[JUMLAH]]="","",(NOTA[[#This Row],[JUMLAH]]-NOTA[[#This Row],[DISC 1-]])*NOTA[[#This Row],[DISC 2]])</f>
        <v/>
      </c>
      <c r="Z449" s="36" t="str">
        <f>IF(NOTA[[#This Row],[JUMLAH]]="","",NOTA[[#This Row],[DISC 1-]]+NOTA[[#This Row],[DISC 2-]])</f>
        <v/>
      </c>
      <c r="AA449" s="36" t="str">
        <f>IF(NOTA[[#This Row],[JUMLAH]]="","",NOTA[[#This Row],[JUMLAH]]-NOTA[[#This Row],[DISC]])</f>
        <v/>
      </c>
      <c r="AB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36" t="str">
        <f>IF(OR(NOTA[[#This Row],[QTY]]="",NOTA[[#This Row],[HARGA SATUAN]]="",),"",NOTA[[#This Row],[QTY]]*NOTA[[#This Row],[HARGA SATUAN]])</f>
        <v/>
      </c>
      <c r="AF449" s="34" t="str">
        <f ca="1">IF(NOTA[ID_H]="","",INDEX(NOTA[TANGGAL],MATCH(,INDIRECT(ADDRESS(ROW(NOTA[TANGGAL]),COLUMN(NOTA[TANGGAL]))&amp;":"&amp;ADDRESS(ROW(),COLUMN(NOTA[TANGGAL]))),-1)))</f>
        <v/>
      </c>
      <c r="AG449" s="30" t="str">
        <f ca="1">IF(NOTA[[#This Row],[NAMA BARANG]]="","",INDEX(NOTA[SUPPLIER],MATCH(,INDIRECT(ADDRESS(ROW(NOTA[ID]),COLUMN(NOTA[ID]))&amp;":"&amp;ADDRESS(ROW(),COLUMN(NOTA[ID]))),-1)))</f>
        <v/>
      </c>
      <c r="AH449" s="16" t="str">
        <f ca="1">IF(NOTA[[#This Row],[ID]]="","",COUNTIF(NOTA[ID_H],NOTA[[#This Row],[ID_H]]))</f>
        <v/>
      </c>
      <c r="AI449" s="16" t="str">
        <f ca="1">IF(NOTA[[#This Row],[TGL.NOTA]]="",IF(NOTA[[#This Row],[SUPPLIER_H]]="","",AI448),MONTH(NOTA[[#This Row],[TGL.NOTA]]))</f>
        <v/>
      </c>
      <c r="AJ449" s="16"/>
    </row>
    <row r="450" spans="1:36" ht="20.100000000000001" customHeight="1" x14ac:dyDescent="0.25">
      <c r="A450" s="4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50" s="41" t="e">
        <f ca="1">IF(NOTA[[#This Row],[ID_P]]="","",MATCH(NOTA[[#This Row],[ID_P]],[1]!B_MSK[N_ID],0))</f>
        <v>#REF!</v>
      </c>
      <c r="D450" s="41">
        <f ca="1">IF(NOTA[[#This Row],[NAMA BARANG]]="","",INDEX(NOTA[ID],MATCH(,INDIRECT(ADDRESS(ROW(NOTA[ID]),COLUMN(NOTA[ID]))&amp;":"&amp;ADDRESS(ROW(),COLUMN(NOTA[ID]))),-1)))</f>
        <v>102</v>
      </c>
      <c r="E450" s="51"/>
      <c r="F450" s="31" t="s">
        <v>23</v>
      </c>
      <c r="G450" s="31" t="s">
        <v>24</v>
      </c>
      <c r="H450" s="33" t="s">
        <v>612</v>
      </c>
      <c r="I450" s="31" t="s">
        <v>618</v>
      </c>
      <c r="J450" s="44">
        <v>44859</v>
      </c>
      <c r="K450" s="42"/>
      <c r="L450" s="31" t="s">
        <v>84</v>
      </c>
      <c r="M450" s="45">
        <v>3</v>
      </c>
      <c r="N450" s="42"/>
      <c r="O450" s="42"/>
      <c r="P450" s="40"/>
      <c r="Q450" s="162">
        <v>5616000</v>
      </c>
      <c r="R450" s="35" t="s">
        <v>102</v>
      </c>
      <c r="S450" s="47">
        <v>0.17</v>
      </c>
      <c r="T450" s="47"/>
      <c r="U450" s="46"/>
      <c r="V450" s="87"/>
      <c r="W450" s="46">
        <f>IF(NOTA[[#This Row],[HARGA/ CTN]]="",NOTA[[#This Row],[JUMLAH_H]],NOTA[[#This Row],[HARGA/ CTN]]*NOTA[[#This Row],[C]])</f>
        <v>16848000</v>
      </c>
      <c r="X450" s="46">
        <f>IF(NOTA[[#This Row],[JUMLAH]]="","",NOTA[[#This Row],[JUMLAH]]*NOTA[[#This Row],[DISC 1]])</f>
        <v>2864160</v>
      </c>
      <c r="Y450" s="46">
        <f>IF(NOTA[[#This Row],[JUMLAH]]="","",(NOTA[[#This Row],[JUMLAH]]-NOTA[[#This Row],[DISC 1-]])*NOTA[[#This Row],[DISC 2]])</f>
        <v>0</v>
      </c>
      <c r="Z450" s="46">
        <f>IF(NOTA[[#This Row],[JUMLAH]]="","",NOTA[[#This Row],[DISC 1-]]+NOTA[[#This Row],[DISC 2-]])</f>
        <v>2864160</v>
      </c>
      <c r="AA450" s="46">
        <f>IF(NOTA[[#This Row],[JUMLAH]]="","",NOTA[[#This Row],[JUMLAH]]-NOTA[[#This Row],[DISC]])</f>
        <v>13983840</v>
      </c>
      <c r="AB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0" s="46" t="str">
        <f>IF(OR(NOTA[[#This Row],[QTY]]="",NOTA[[#This Row],[HARGA SATUAN]]="",),"",NOTA[[#This Row],[QTY]]*NOTA[[#This Row],[HARGA SATUAN]])</f>
        <v/>
      </c>
      <c r="AF450" s="44">
        <f ca="1">IF(NOTA[ID_H]="","",INDEX(NOTA[TANGGAL],MATCH(,INDIRECT(ADDRESS(ROW(NOTA[TANGGAL]),COLUMN(NOTA[TANGGAL]))&amp;":"&amp;ADDRESS(ROW(),COLUMN(NOTA[TANGGAL]))),-1)))</f>
        <v>44862</v>
      </c>
      <c r="AG450" s="40" t="str">
        <f ca="1">IF(NOTA[[#This Row],[NAMA BARANG]]="","",INDEX(NOTA[SUPPLIER],MATCH(,INDIRECT(ADDRESS(ROW(NOTA[ID]),COLUMN(NOTA[ID]))&amp;":"&amp;ADDRESS(ROW(),COLUMN(NOTA[ID]))),-1)))</f>
        <v>KENKO SINAR INDONESIA</v>
      </c>
      <c r="AH450" s="16">
        <f ca="1">IF(NOTA[[#This Row],[ID]]="","",COUNTIF(NOTA[ID_H],NOTA[[#This Row],[ID_H]]))</f>
        <v>8</v>
      </c>
      <c r="AI450" s="16">
        <f>IF(NOTA[[#This Row],[TGL.NOTA]]="",IF(NOTA[[#This Row],[SUPPLIER_H]]="","",AI449),MONTH(NOTA[[#This Row],[TGL.NOTA]]))</f>
        <v>10</v>
      </c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>
        <f ca="1">IF(NOTA[[#This Row],[NAMA BARANG]]="","",INDEX(NOTA[ID],MATCH(,INDIRECT(ADDRESS(ROW(NOTA[ID]),COLUMN(NOTA[ID]))&amp;":"&amp;ADDRESS(ROW(),COLUMN(NOTA[ID]))),-1)))</f>
        <v>102</v>
      </c>
      <c r="E451" s="32"/>
      <c r="F451" s="31"/>
      <c r="G451" s="31"/>
      <c r="H451" s="33"/>
      <c r="I451" s="42"/>
      <c r="J451" s="44"/>
      <c r="K451" s="42"/>
      <c r="L451" s="31" t="s">
        <v>528</v>
      </c>
      <c r="M451" s="45">
        <v>2</v>
      </c>
      <c r="N451" s="42"/>
      <c r="O451" s="31"/>
      <c r="P451" s="40"/>
      <c r="Q451" s="162">
        <v>2052000</v>
      </c>
      <c r="R451" s="35" t="s">
        <v>94</v>
      </c>
      <c r="S451" s="47">
        <v>0.17</v>
      </c>
      <c r="T451" s="47"/>
      <c r="U451" s="46"/>
      <c r="V451" s="87"/>
      <c r="W451" s="46">
        <f>IF(NOTA[[#This Row],[HARGA/ CTN]]="",NOTA[[#This Row],[JUMLAH_H]],NOTA[[#This Row],[HARGA/ CTN]]*NOTA[[#This Row],[C]])</f>
        <v>4104000</v>
      </c>
      <c r="X451" s="46">
        <f>IF(NOTA[[#This Row],[JUMLAH]]="","",NOTA[[#This Row],[JUMLAH]]*NOTA[[#This Row],[DISC 1]])</f>
        <v>697680</v>
      </c>
      <c r="Y451" s="46">
        <f>IF(NOTA[[#This Row],[JUMLAH]]="","",(NOTA[[#This Row],[JUMLAH]]-NOTA[[#This Row],[DISC 1-]])*NOTA[[#This Row],[DISC 2]])</f>
        <v>0</v>
      </c>
      <c r="Z451" s="46">
        <f>IF(NOTA[[#This Row],[JUMLAH]]="","",NOTA[[#This Row],[DISC 1-]]+NOTA[[#This Row],[DISC 2-]])</f>
        <v>697680</v>
      </c>
      <c r="AA451" s="46">
        <f>IF(NOTA[[#This Row],[JUMLAH]]="","",NOTA[[#This Row],[JUMLAH]]-NOTA[[#This Row],[DISC]])</f>
        <v>3406320</v>
      </c>
      <c r="AB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51" s="46" t="str">
        <f>IF(OR(NOTA[[#This Row],[QTY]]="",NOTA[[#This Row],[HARGA SATUAN]]="",),"",NOTA[[#This Row],[QTY]]*NOTA[[#This Row],[HARGA SATUAN]])</f>
        <v/>
      </c>
      <c r="AF451" s="44">
        <f ca="1">IF(NOTA[ID_H]="","",INDEX(NOTA[TANGGAL],MATCH(,INDIRECT(ADDRESS(ROW(NOTA[TANGGAL]),COLUMN(NOTA[TANGGAL]))&amp;":"&amp;ADDRESS(ROW(),COLUMN(NOTA[TANGGAL]))),-1)))</f>
        <v>44862</v>
      </c>
      <c r="AG451" s="40" t="str">
        <f ca="1">IF(NOTA[[#This Row],[NAMA BARANG]]="","",INDEX(NOTA[SUPPLIER],MATCH(,INDIRECT(ADDRESS(ROW(NOTA[ID]),COLUMN(NOTA[ID]))&amp;":"&amp;ADDRESS(ROW(),COLUMN(NOTA[ID]))),-1)))</f>
        <v>KENKO SINAR INDONESIA</v>
      </c>
      <c r="AH451" s="16" t="str">
        <f ca="1">IF(NOTA[[#This Row],[ID]]="","",COUNTIF(NOTA[ID_H],NOTA[[#This Row],[ID_H]]))</f>
        <v/>
      </c>
      <c r="AI451" s="16">
        <f ca="1"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1" t="str">
        <f>IF(NOTA[[#This Row],[ID_P]]="","",MATCH(NOTA[[#This Row],[ID_P]],[1]!B_MSK[N_ID],0))</f>
        <v/>
      </c>
      <c r="D452" s="41">
        <f ca="1">IF(NOTA[[#This Row],[NAMA BARANG]]="","",INDEX(NOTA[ID],MATCH(,INDIRECT(ADDRESS(ROW(NOTA[ID]),COLUMN(NOTA[ID]))&amp;":"&amp;ADDRESS(ROW(),COLUMN(NOTA[ID]))),-1)))</f>
        <v>102</v>
      </c>
      <c r="E452" s="51"/>
      <c r="F452" s="42"/>
      <c r="G452" s="42"/>
      <c r="H452" s="43"/>
      <c r="I452" s="42"/>
      <c r="J452" s="44"/>
      <c r="K452" s="42"/>
      <c r="L452" s="31" t="s">
        <v>613</v>
      </c>
      <c r="M452" s="45">
        <v>1</v>
      </c>
      <c r="N452" s="42"/>
      <c r="O452" s="42"/>
      <c r="P452" s="40"/>
      <c r="Q452" s="162">
        <v>5270400</v>
      </c>
      <c r="R452" s="35" t="s">
        <v>102</v>
      </c>
      <c r="S452" s="47">
        <v>0.17</v>
      </c>
      <c r="T452" s="47"/>
      <c r="U452" s="46"/>
      <c r="V452" s="87"/>
      <c r="W452" s="46">
        <f>IF(NOTA[[#This Row],[HARGA/ CTN]]="",NOTA[[#This Row],[JUMLAH_H]],NOTA[[#This Row],[HARGA/ CTN]]*NOTA[[#This Row],[C]])</f>
        <v>5270400</v>
      </c>
      <c r="X452" s="46">
        <f>IF(NOTA[[#This Row],[JUMLAH]]="","",NOTA[[#This Row],[JUMLAH]]*NOTA[[#This Row],[DISC 1]])</f>
        <v>895968.00000000012</v>
      </c>
      <c r="Y452" s="46">
        <f>IF(NOTA[[#This Row],[JUMLAH]]="","",(NOTA[[#This Row],[JUMLAH]]-NOTA[[#This Row],[DISC 1-]])*NOTA[[#This Row],[DISC 2]])</f>
        <v>0</v>
      </c>
      <c r="Z452" s="46">
        <f>IF(NOTA[[#This Row],[JUMLAH]]="","",NOTA[[#This Row],[DISC 1-]]+NOTA[[#This Row],[DISC 2-]])</f>
        <v>895968.00000000012</v>
      </c>
      <c r="AA452" s="46">
        <f>IF(NOTA[[#This Row],[JUMLAH]]="","",NOTA[[#This Row],[JUMLAH]]-NOTA[[#This Row],[DISC]])</f>
        <v>4374432</v>
      </c>
      <c r="AB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52" s="46" t="str">
        <f>IF(OR(NOTA[[#This Row],[QTY]]="",NOTA[[#This Row],[HARGA SATUAN]]="",),"",NOTA[[#This Row],[QTY]]*NOTA[[#This Row],[HARGA SATUAN]])</f>
        <v/>
      </c>
      <c r="AF452" s="44">
        <f ca="1">IF(NOTA[ID_H]="","",INDEX(NOTA[TANGGAL],MATCH(,INDIRECT(ADDRESS(ROW(NOTA[TANGGAL]),COLUMN(NOTA[TANGGAL]))&amp;":"&amp;ADDRESS(ROW(),COLUMN(NOTA[TANGGAL]))),-1)))</f>
        <v>44862</v>
      </c>
      <c r="AG452" s="40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>
        <f ca="1">IF(NOTA[[#This Row],[NAMA BARANG]]="","",INDEX(NOTA[ID],MATCH(,INDIRECT(ADDRESS(ROW(NOTA[ID]),COLUMN(NOTA[ID]))&amp;":"&amp;ADDRESS(ROW(),COLUMN(NOTA[ID]))),-1)))</f>
        <v>102</v>
      </c>
      <c r="E453" s="51"/>
      <c r="F453" s="31"/>
      <c r="G453" s="31"/>
      <c r="H453" s="33"/>
      <c r="I453" s="42"/>
      <c r="J453" s="44"/>
      <c r="K453" s="42"/>
      <c r="L453" s="31" t="s">
        <v>614</v>
      </c>
      <c r="M453" s="45">
        <v>7</v>
      </c>
      <c r="N453" s="42"/>
      <c r="O453" s="31"/>
      <c r="P453" s="40"/>
      <c r="Q453" s="162">
        <v>1566000</v>
      </c>
      <c r="R453" s="35" t="s">
        <v>193</v>
      </c>
      <c r="S453" s="47">
        <v>0.17</v>
      </c>
      <c r="T453" s="47"/>
      <c r="U453" s="46"/>
      <c r="V453" s="87"/>
      <c r="W453" s="46">
        <f>IF(NOTA[[#This Row],[HARGA/ CTN]]="",NOTA[[#This Row],[JUMLAH_H]],NOTA[[#This Row],[HARGA/ CTN]]*NOTA[[#This Row],[C]])</f>
        <v>10962000</v>
      </c>
      <c r="X453" s="46">
        <f>IF(NOTA[[#This Row],[JUMLAH]]="","",NOTA[[#This Row],[JUMLAH]]*NOTA[[#This Row],[DISC 1]])</f>
        <v>1863540.0000000002</v>
      </c>
      <c r="Y453" s="46">
        <f>IF(NOTA[[#This Row],[JUMLAH]]="","",(NOTA[[#This Row],[JUMLAH]]-NOTA[[#This Row],[DISC 1-]])*NOTA[[#This Row],[DISC 2]])</f>
        <v>0</v>
      </c>
      <c r="Z453" s="46">
        <f>IF(NOTA[[#This Row],[JUMLAH]]="","",NOTA[[#This Row],[DISC 1-]]+NOTA[[#This Row],[DISC 2-]])</f>
        <v>1863540.0000000002</v>
      </c>
      <c r="AA453" s="46">
        <f>IF(NOTA[[#This Row],[JUMLAH]]="","",NOTA[[#This Row],[JUMLAH]]-NOTA[[#This Row],[DISC]])</f>
        <v>9098460</v>
      </c>
      <c r="AB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53" s="46" t="str">
        <f>IF(OR(NOTA[[#This Row],[QTY]]="",NOTA[[#This Row],[HARGA SATUAN]]="",),"",NOTA[[#This Row],[QTY]]*NOTA[[#This Row],[HARGA SATUAN]])</f>
        <v/>
      </c>
      <c r="AF453" s="44">
        <f ca="1">IF(NOTA[ID_H]="","",INDEX(NOTA[TANGGAL],MATCH(,INDIRECT(ADDRESS(ROW(NOTA[TANGGAL]),COLUMN(NOTA[TANGGAL]))&amp;":"&amp;ADDRESS(ROW(),COLUMN(NOTA[TANGGAL]))),-1)))</f>
        <v>44862</v>
      </c>
      <c r="AG453" s="40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41" t="str">
        <f>IF(NOTA[[#This Row],[ID_P]]="","",MATCH(NOTA[[#This Row],[ID_P]],[1]!B_MSK[N_ID],0))</f>
        <v/>
      </c>
      <c r="D454" s="41">
        <f ca="1">IF(NOTA[[#This Row],[NAMA BARANG]]="","",INDEX(NOTA[ID],MATCH(,INDIRECT(ADDRESS(ROW(NOTA[ID]),COLUMN(NOTA[ID]))&amp;":"&amp;ADDRESS(ROW(),COLUMN(NOTA[ID]))),-1)))</f>
        <v>102</v>
      </c>
      <c r="E454" s="51"/>
      <c r="F454" s="42"/>
      <c r="G454" s="42"/>
      <c r="H454" s="43"/>
      <c r="I454" s="42"/>
      <c r="J454" s="44"/>
      <c r="K454" s="42"/>
      <c r="L454" s="31" t="s">
        <v>615</v>
      </c>
      <c r="M454" s="45">
        <v>1</v>
      </c>
      <c r="N454" s="42"/>
      <c r="O454" s="42"/>
      <c r="P454" s="40"/>
      <c r="Q454" s="162">
        <v>1710000</v>
      </c>
      <c r="R454" s="35" t="s">
        <v>193</v>
      </c>
      <c r="S454" s="47">
        <v>0.17</v>
      </c>
      <c r="T454" s="47"/>
      <c r="U454" s="46"/>
      <c r="V454" s="87"/>
      <c r="W454" s="46">
        <f>IF(NOTA[[#This Row],[HARGA/ CTN]]="",NOTA[[#This Row],[JUMLAH_H]],NOTA[[#This Row],[HARGA/ CTN]]*NOTA[[#This Row],[C]])</f>
        <v>1710000</v>
      </c>
      <c r="X454" s="46">
        <f>IF(NOTA[[#This Row],[JUMLAH]]="","",NOTA[[#This Row],[JUMLAH]]*NOTA[[#This Row],[DISC 1]])</f>
        <v>290700</v>
      </c>
      <c r="Y454" s="46">
        <f>IF(NOTA[[#This Row],[JUMLAH]]="","",(NOTA[[#This Row],[JUMLAH]]-NOTA[[#This Row],[DISC 1-]])*NOTA[[#This Row],[DISC 2]])</f>
        <v>0</v>
      </c>
      <c r="Z454" s="46">
        <f>IF(NOTA[[#This Row],[JUMLAH]]="","",NOTA[[#This Row],[DISC 1-]]+NOTA[[#This Row],[DISC 2-]])</f>
        <v>290700</v>
      </c>
      <c r="AA454" s="46">
        <f>IF(NOTA[[#This Row],[JUMLAH]]="","",NOTA[[#This Row],[JUMLAH]]-NOTA[[#This Row],[DISC]])</f>
        <v>1419300</v>
      </c>
      <c r="AB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4" s="46" t="str">
        <f>IF(OR(NOTA[[#This Row],[QTY]]="",NOTA[[#This Row],[HARGA SATUAN]]="",),"",NOTA[[#This Row],[QTY]]*NOTA[[#This Row],[HARGA SATUAN]])</f>
        <v/>
      </c>
      <c r="AF454" s="44">
        <f ca="1">IF(NOTA[ID_H]="","",INDEX(NOTA[TANGGAL],MATCH(,INDIRECT(ADDRESS(ROW(NOTA[TANGGAL]),COLUMN(NOTA[TANGGAL]))&amp;":"&amp;ADDRESS(ROW(),COLUMN(NOTA[TANGGAL]))),-1)))</f>
        <v>44862</v>
      </c>
      <c r="AG454" s="40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>
        <f ca="1">IF(NOTA[[#This Row],[NAMA BARANG]]="","",INDEX(NOTA[ID],MATCH(,INDIRECT(ADDRESS(ROW(NOTA[ID]),COLUMN(NOTA[ID]))&amp;":"&amp;ADDRESS(ROW(),COLUMN(NOTA[ID]))),-1)))</f>
        <v>102</v>
      </c>
      <c r="E455" s="51"/>
      <c r="F455" s="31"/>
      <c r="G455" s="31"/>
      <c r="H455" s="33"/>
      <c r="I455" s="42"/>
      <c r="J455" s="44"/>
      <c r="K455" s="42"/>
      <c r="L455" s="31" t="s">
        <v>95</v>
      </c>
      <c r="M455" s="45">
        <v>4</v>
      </c>
      <c r="N455" s="42"/>
      <c r="O455" s="31"/>
      <c r="P455" s="40"/>
      <c r="Q455" s="162">
        <v>2952000</v>
      </c>
      <c r="R455" s="35" t="s">
        <v>96</v>
      </c>
      <c r="S455" s="47">
        <v>0.17</v>
      </c>
      <c r="T455" s="47"/>
      <c r="U455" s="46"/>
      <c r="V455" s="87"/>
      <c r="W455" s="46">
        <f>IF(NOTA[[#This Row],[HARGA/ CTN]]="",NOTA[[#This Row],[JUMLAH_H]],NOTA[[#This Row],[HARGA/ CTN]]*NOTA[[#This Row],[C]])</f>
        <v>11808000</v>
      </c>
      <c r="X455" s="46">
        <f>IF(NOTA[[#This Row],[JUMLAH]]="","",NOTA[[#This Row],[JUMLAH]]*NOTA[[#This Row],[DISC 1]])</f>
        <v>2007360.0000000002</v>
      </c>
      <c r="Y455" s="46">
        <f>IF(NOTA[[#This Row],[JUMLAH]]="","",(NOTA[[#This Row],[JUMLAH]]-NOTA[[#This Row],[DISC 1-]])*NOTA[[#This Row],[DISC 2]])</f>
        <v>0</v>
      </c>
      <c r="Z455" s="46">
        <f>IF(NOTA[[#This Row],[JUMLAH]]="","",NOTA[[#This Row],[DISC 1-]]+NOTA[[#This Row],[DISC 2-]])</f>
        <v>2007360.0000000002</v>
      </c>
      <c r="AA455" s="46">
        <f>IF(NOTA[[#This Row],[JUMLAH]]="","",NOTA[[#This Row],[JUMLAH]]-NOTA[[#This Row],[DISC]])</f>
        <v>9800640</v>
      </c>
      <c r="AB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55" s="46" t="str">
        <f>IF(OR(NOTA[[#This Row],[QTY]]="",NOTA[[#This Row],[HARGA SATUAN]]="",),"",NOTA[[#This Row],[QTY]]*NOTA[[#This Row],[HARGA SATUAN]])</f>
        <v/>
      </c>
      <c r="AF455" s="44">
        <f ca="1">IF(NOTA[ID_H]="","",INDEX(NOTA[TANGGAL],MATCH(,INDIRECT(ADDRESS(ROW(NOTA[TANGGAL]),COLUMN(NOTA[TANGGAL]))&amp;":"&amp;ADDRESS(ROW(),COLUMN(NOTA[TANGGAL]))),-1)))</f>
        <v>44862</v>
      </c>
      <c r="AG455" s="40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1" t="str">
        <f>IF(NOTA[[#This Row],[ID_P]]="","",MATCH(NOTA[[#This Row],[ID_P]],[1]!B_MSK[N_ID],0))</f>
        <v/>
      </c>
      <c r="D456" s="41">
        <f ca="1">IF(NOTA[[#This Row],[NAMA BARANG]]="","",INDEX(NOTA[ID],MATCH(,INDIRECT(ADDRESS(ROW(NOTA[ID]),COLUMN(NOTA[ID]))&amp;":"&amp;ADDRESS(ROW(),COLUMN(NOTA[ID]))),-1)))</f>
        <v>102</v>
      </c>
      <c r="E456" s="51"/>
      <c r="F456" s="42"/>
      <c r="G456" s="42"/>
      <c r="H456" s="43"/>
      <c r="I456" s="16" t="s">
        <v>616</v>
      </c>
      <c r="J456" s="44"/>
      <c r="K456" s="42"/>
      <c r="L456" s="31" t="s">
        <v>103</v>
      </c>
      <c r="M456" s="45">
        <v>1</v>
      </c>
      <c r="N456" s="42"/>
      <c r="O456" s="31"/>
      <c r="P456" s="40"/>
      <c r="Q456" s="162">
        <v>3110400</v>
      </c>
      <c r="R456" s="35" t="s">
        <v>102</v>
      </c>
      <c r="S456" s="47">
        <v>0.17</v>
      </c>
      <c r="T456" s="47"/>
      <c r="U456" s="46"/>
      <c r="V456" s="87"/>
      <c r="W456" s="46">
        <f>IF(NOTA[[#This Row],[HARGA/ CTN]]="",NOTA[[#This Row],[JUMLAH_H]],NOTA[[#This Row],[HARGA/ CTN]]*NOTA[[#This Row],[C]])</f>
        <v>3110400</v>
      </c>
      <c r="X456" s="46">
        <f>IF(NOTA[[#This Row],[JUMLAH]]="","",NOTA[[#This Row],[JUMLAH]]*NOTA[[#This Row],[DISC 1]])</f>
        <v>528768</v>
      </c>
      <c r="Y456" s="46">
        <f>IF(NOTA[[#This Row],[JUMLAH]]="","",(NOTA[[#This Row],[JUMLAH]]-NOTA[[#This Row],[DISC 1-]])*NOTA[[#This Row],[DISC 2]])</f>
        <v>0</v>
      </c>
      <c r="Z456" s="46">
        <f>IF(NOTA[[#This Row],[JUMLAH]]="","",NOTA[[#This Row],[DISC 1-]]+NOTA[[#This Row],[DISC 2-]])</f>
        <v>528768</v>
      </c>
      <c r="AA456" s="46">
        <f>IF(NOTA[[#This Row],[JUMLAH]]="","",NOTA[[#This Row],[JUMLAH]]-NOTA[[#This Row],[DISC]])</f>
        <v>2581632</v>
      </c>
      <c r="AB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56" s="46" t="str">
        <f>IF(OR(NOTA[[#This Row],[QTY]]="",NOTA[[#This Row],[HARGA SATUAN]]="",),"",NOTA[[#This Row],[QTY]]*NOTA[[#This Row],[HARGA SATUAN]])</f>
        <v/>
      </c>
      <c r="AF456" s="44">
        <f ca="1">IF(NOTA[ID_H]="","",INDEX(NOTA[TANGGAL],MATCH(,INDIRECT(ADDRESS(ROW(NOTA[TANGGAL]),COLUMN(NOTA[TANGGAL]))&amp;":"&amp;ADDRESS(ROW(),COLUMN(NOTA[TANGGAL]))),-1)))</f>
        <v>44862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102</v>
      </c>
      <c r="E457" s="99"/>
      <c r="H457" s="24"/>
      <c r="I457" s="16" t="s">
        <v>617</v>
      </c>
      <c r="J457" s="91"/>
      <c r="K457" s="89"/>
      <c r="L457" s="16" t="s">
        <v>529</v>
      </c>
      <c r="M457" s="92">
        <v>1</v>
      </c>
      <c r="N457" s="89"/>
      <c r="P457" s="93"/>
      <c r="Q457" s="163">
        <v>3758400</v>
      </c>
      <c r="R457" s="98" t="s">
        <v>102</v>
      </c>
      <c r="S457" s="95">
        <v>0.17</v>
      </c>
      <c r="T457" s="96"/>
      <c r="U457" s="97"/>
      <c r="V457" s="88"/>
      <c r="W457" s="46">
        <f>IF(NOTA[[#This Row],[HARGA/ CTN]]="",NOTA[[#This Row],[JUMLAH_H]],NOTA[[#This Row],[HARGA/ CTN]]*NOTA[[#This Row],[C]])</f>
        <v>3758400</v>
      </c>
      <c r="X457" s="46">
        <f>IF(NOTA[[#This Row],[JUMLAH]]="","",NOTA[[#This Row],[JUMLAH]]*NOTA[[#This Row],[DISC 1]])</f>
        <v>638928</v>
      </c>
      <c r="Y457" s="46">
        <f>IF(NOTA[[#This Row],[JUMLAH]]="","",(NOTA[[#This Row],[JUMLAH]]-NOTA[[#This Row],[DISC 1-]])*NOTA[[#This Row],[DISC 2]])</f>
        <v>0</v>
      </c>
      <c r="Z457" s="46">
        <f>IF(NOTA[[#This Row],[JUMLAH]]="","",NOTA[[#This Row],[DISC 1-]]+NOTA[[#This Row],[DISC 2-]])</f>
        <v>638928</v>
      </c>
      <c r="AA457" s="46">
        <f>IF(NOTA[[#This Row],[JUMLAH]]="","",NOTA[[#This Row],[JUMLAH]]-NOTA[[#This Row],[DISC]])</f>
        <v>3119472</v>
      </c>
      <c r="AB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5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57" s="46" t="str">
        <f>IF(OR(NOTA[[#This Row],[QTY]]="",NOTA[[#This Row],[HARGA SATUAN]]="",),"",NOTA[[#This Row],[QTY]]*NOTA[[#This Row],[HARGA SATUAN]])</f>
        <v/>
      </c>
      <c r="AF457" s="44">
        <f ca="1">IF(NOTA[ID_H]="","",INDEX(NOTA[TANGGAL],MATCH(,INDIRECT(ADDRESS(ROW(NOTA[TANGGAL]),COLUMN(NOTA[TANGGAL]))&amp;":"&amp;ADDRESS(ROW(),COLUMN(NOTA[TANGGAL]))),-1)))</f>
        <v>44862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 t="str">
        <f ca="1">IF(NOTA[[#This Row],[NAMA BARANG]]="","",INDEX(NOTA[ID],MATCH(,INDIRECT(ADDRESS(ROW(NOTA[ID]),COLUMN(NOTA[ID]))&amp;":"&amp;ADDRESS(ROW(),COLUMN(NOTA[ID]))),-1)))</f>
        <v/>
      </c>
      <c r="E458" s="99"/>
      <c r="F458" s="89"/>
      <c r="G458" s="89"/>
      <c r="H458" s="90"/>
      <c r="J458" s="91"/>
      <c r="K458" s="89"/>
      <c r="M458" s="92"/>
      <c r="N458" s="89"/>
      <c r="P458" s="93"/>
      <c r="Q458" s="163"/>
      <c r="R458" s="98"/>
      <c r="S458" s="95"/>
      <c r="T458" s="96"/>
      <c r="U458" s="97"/>
      <c r="V458" s="88"/>
      <c r="W458" s="46" t="str">
        <f>IF(NOTA[[#This Row],[HARGA/ CTN]]="",NOTA[[#This Row],[JUMLAH_H]],NOTA[[#This Row],[HARGA/ CTN]]*NOTA[[#This Row],[C]])</f>
        <v/>
      </c>
      <c r="X458" s="46" t="str">
        <f>IF(NOTA[[#This Row],[JUMLAH]]="","",NOTA[[#This Row],[JUMLAH]]*NOTA[[#This Row],[DISC 1]])</f>
        <v/>
      </c>
      <c r="Y458" s="46" t="str">
        <f>IF(NOTA[[#This Row],[JUMLAH]]="","",(NOTA[[#This Row],[JUMLAH]]-NOTA[[#This Row],[DISC 1-]])*NOTA[[#This Row],[DISC 2]])</f>
        <v/>
      </c>
      <c r="Z458" s="46" t="str">
        <f>IF(NOTA[[#This Row],[JUMLAH]]="","",NOTA[[#This Row],[DISC 1-]]+NOTA[[#This Row],[DISC 2-]])</f>
        <v/>
      </c>
      <c r="AA458" s="46" t="str">
        <f>IF(NOTA[[#This Row],[JUMLAH]]="","",NOTA[[#This Row],[JUMLAH]]-NOTA[[#This Row],[DISC]])</f>
        <v/>
      </c>
      <c r="AB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6" t="str">
        <f>IF(OR(NOTA[[#This Row],[QTY]]="",NOTA[[#This Row],[HARGA SATUAN]]="",),"",NOTA[[#This Row],[QTY]]*NOTA[[#This Row],[HARGA SATUAN]])</f>
        <v/>
      </c>
      <c r="AF458" s="44" t="str">
        <f ca="1">IF(NOTA[ID_H]="","",INDEX(NOTA[TANGGAL],MATCH(,INDIRECT(ADDRESS(ROW(NOTA[TANGGAL]),COLUMN(NOTA[TANGGAL]))&amp;":"&amp;ADDRESS(ROW(),COLUMN(NOTA[TANGGAL]))),-1)))</f>
        <v/>
      </c>
      <c r="AG458" s="40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4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59" s="41" t="e">
        <f ca="1">IF(NOTA[[#This Row],[ID_P]]="","",MATCH(NOTA[[#This Row],[ID_P]],[1]!B_MSK[N_ID],0))</f>
        <v>#REF!</v>
      </c>
      <c r="D459" s="41">
        <f ca="1">IF(NOTA[[#This Row],[NAMA BARANG]]="","",INDEX(NOTA[ID],MATCH(,INDIRECT(ADDRESS(ROW(NOTA[ID]),COLUMN(NOTA[ID]))&amp;":"&amp;ADDRESS(ROW(),COLUMN(NOTA[ID]))),-1)))</f>
        <v>103</v>
      </c>
      <c r="E459" s="99"/>
      <c r="F459" s="16" t="s">
        <v>89</v>
      </c>
      <c r="G459" s="16" t="s">
        <v>87</v>
      </c>
      <c r="H459" s="24" t="s">
        <v>620</v>
      </c>
      <c r="J459" s="91">
        <v>44859</v>
      </c>
      <c r="K459" s="89"/>
      <c r="L459" s="16" t="s">
        <v>621</v>
      </c>
      <c r="M459" s="92">
        <v>5</v>
      </c>
      <c r="N459" s="89">
        <v>480</v>
      </c>
      <c r="O459" s="16" t="s">
        <v>90</v>
      </c>
      <c r="P459" s="93">
        <v>31500</v>
      </c>
      <c r="Q459" s="163"/>
      <c r="R459" s="98" t="s">
        <v>622</v>
      </c>
      <c r="S459" s="95"/>
      <c r="T459" s="96"/>
      <c r="U459" s="97"/>
      <c r="V459" s="88"/>
      <c r="W459" s="46">
        <f>IF(NOTA[[#This Row],[HARGA/ CTN]]="",NOTA[[#This Row],[JUMLAH_H]],NOTA[[#This Row],[HARGA/ CTN]]*NOTA[[#This Row],[C]])</f>
        <v>15120000</v>
      </c>
      <c r="X459" s="46">
        <f>IF(NOTA[[#This Row],[JUMLAH]]="","",NOTA[[#This Row],[JUMLAH]]*NOTA[[#This Row],[DISC 1]])</f>
        <v>0</v>
      </c>
      <c r="Y459" s="46">
        <f>IF(NOTA[[#This Row],[JUMLAH]]="","",(NOTA[[#This Row],[JUMLAH]]-NOTA[[#This Row],[DISC 1-]])*NOTA[[#This Row],[DISC 2]])</f>
        <v>0</v>
      </c>
      <c r="Z459" s="46">
        <f>IF(NOTA[[#This Row],[JUMLAH]]="","",NOTA[[#This Row],[DISC 1-]]+NOTA[[#This Row],[DISC 2-]])</f>
        <v>0</v>
      </c>
      <c r="AA459" s="46">
        <f>IF(NOTA[[#This Row],[JUMLAH]]="","",NOTA[[#This Row],[JUMLAH]]-NOTA[[#This Row],[DISC]])</f>
        <v>15120000</v>
      </c>
      <c r="AB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59" s="46">
        <f>IF(OR(NOTA[[#This Row],[QTY]]="",NOTA[[#This Row],[HARGA SATUAN]]="",),"",NOTA[[#This Row],[QTY]]*NOTA[[#This Row],[HARGA SATUAN]])</f>
        <v>15120000</v>
      </c>
      <c r="AF459" s="44">
        <f ca="1">IF(NOTA[ID_H]="","",INDEX(NOTA[TANGGAL],MATCH(,INDIRECT(ADDRESS(ROW(NOTA[TANGGAL]),COLUMN(NOTA[TANGGAL]))&amp;":"&amp;ADDRESS(ROW(),COLUMN(NOTA[TANGGAL]))),-1)))</f>
        <v>44862</v>
      </c>
      <c r="AG459" s="40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2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>
        <f ca="1">IF(NOTA[[#This Row],[NAMA BARANG]]="","",INDEX(NOTA[ID],MATCH(,INDIRECT(ADDRESS(ROW(NOTA[ID]),COLUMN(NOTA[ID]))&amp;":"&amp;ADDRESS(ROW(),COLUMN(NOTA[ID]))),-1)))</f>
        <v>103</v>
      </c>
      <c r="E460" s="99"/>
      <c r="F460" s="89"/>
      <c r="G460" s="89"/>
      <c r="H460" s="90"/>
      <c r="I460" s="89"/>
      <c r="J460" s="91"/>
      <c r="K460" s="89"/>
      <c r="L460" s="16" t="s">
        <v>673</v>
      </c>
      <c r="M460" s="92">
        <v>1</v>
      </c>
      <c r="N460" s="89">
        <v>96</v>
      </c>
      <c r="O460" s="16" t="s">
        <v>90</v>
      </c>
      <c r="P460" s="93">
        <v>37500</v>
      </c>
      <c r="Q460" s="163"/>
      <c r="R460" s="98" t="s">
        <v>622</v>
      </c>
      <c r="S460" s="95"/>
      <c r="T460" s="96"/>
      <c r="U460" s="97"/>
      <c r="V460" s="88"/>
      <c r="W460" s="46">
        <f>IF(NOTA[[#This Row],[HARGA/ CTN]]="",NOTA[[#This Row],[JUMLAH_H]],NOTA[[#This Row],[HARGA/ CTN]]*NOTA[[#This Row],[C]])</f>
        <v>3600000</v>
      </c>
      <c r="X460" s="46">
        <f>IF(NOTA[[#This Row],[JUMLAH]]="","",NOTA[[#This Row],[JUMLAH]]*NOTA[[#This Row],[DISC 1]])</f>
        <v>0</v>
      </c>
      <c r="Y460" s="46">
        <f>IF(NOTA[[#This Row],[JUMLAH]]="","",(NOTA[[#This Row],[JUMLAH]]-NOTA[[#This Row],[DISC 1-]])*NOTA[[#This Row],[DISC 2]])</f>
        <v>0</v>
      </c>
      <c r="Z460" s="46">
        <f>IF(NOTA[[#This Row],[JUMLAH]]="","",NOTA[[#This Row],[DISC 1-]]+NOTA[[#This Row],[DISC 2-]])</f>
        <v>0</v>
      </c>
      <c r="AA460" s="46">
        <f>IF(NOTA[[#This Row],[JUMLAH]]="","",NOTA[[#This Row],[JUMLAH]]-NOTA[[#This Row],[DISC]])</f>
        <v>3600000</v>
      </c>
      <c r="AB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60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60" s="46">
        <f>IF(OR(NOTA[[#This Row],[QTY]]="",NOTA[[#This Row],[HARGA SATUAN]]="",),"",NOTA[[#This Row],[QTY]]*NOTA[[#This Row],[HARGA SATUAN]])</f>
        <v>3600000</v>
      </c>
      <c r="AF460" s="44">
        <f ca="1">IF(NOTA[ID_H]="","",INDEX(NOTA[TANGGAL],MATCH(,INDIRECT(ADDRESS(ROW(NOTA[TANGGAL]),COLUMN(NOTA[TANGGAL]))&amp;":"&amp;ADDRESS(ROW(),COLUMN(NOTA[TANGGAL]))),-1)))</f>
        <v>44862</v>
      </c>
      <c r="AG460" s="40" t="str">
        <f ca="1">IF(NOTA[[#This Row],[NAMA BARANG]]="","",INDEX(NOTA[SUPPLIER],MATCH(,INDIRECT(ADDRESS(ROW(NOTA[ID]),COLUMN(NOTA[ID]))&amp;":"&amp;ADDRESS(ROW(),COLUMN(NOTA[ID]))),-1)))</f>
        <v>DB STATIONERY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41" t="str">
        <f>IF(NOTA[[#This Row],[ID_P]]="","",MATCH(NOTA[[#This Row],[ID_P]],[1]!B_MSK[N_ID],0))</f>
        <v/>
      </c>
      <c r="D461" s="41" t="str">
        <f ca="1">IF(NOTA[[#This Row],[NAMA BARANG]]="","",INDEX(NOTA[ID],MATCH(,INDIRECT(ADDRESS(ROW(NOTA[ID]),COLUMN(NOTA[ID]))&amp;":"&amp;ADDRESS(ROW(),COLUMN(NOTA[ID]))),-1)))</f>
        <v/>
      </c>
      <c r="E461" s="99"/>
      <c r="F461" s="89"/>
      <c r="G461" s="89"/>
      <c r="H461" s="90"/>
      <c r="I461" s="89"/>
      <c r="J461" s="91"/>
      <c r="K461" s="89"/>
      <c r="M461" s="92"/>
      <c r="N461" s="89"/>
      <c r="O461" s="89"/>
      <c r="P461" s="93"/>
      <c r="Q461" s="163"/>
      <c r="R461" s="98"/>
      <c r="S461" s="95"/>
      <c r="T461" s="96"/>
      <c r="U461" s="97"/>
      <c r="V461" s="88"/>
      <c r="W461" s="46" t="str">
        <f>IF(NOTA[[#This Row],[HARGA/ CTN]]="",NOTA[[#This Row],[JUMLAH_H]],NOTA[[#This Row],[HARGA/ CTN]]*NOTA[[#This Row],[C]])</f>
        <v/>
      </c>
      <c r="X461" s="46" t="str">
        <f>IF(NOTA[[#This Row],[JUMLAH]]="","",NOTA[[#This Row],[JUMLAH]]*NOTA[[#This Row],[DISC 1]])</f>
        <v/>
      </c>
      <c r="Y461" s="46" t="str">
        <f>IF(NOTA[[#This Row],[JUMLAH]]="","",(NOTA[[#This Row],[JUMLAH]]-NOTA[[#This Row],[DISC 1-]])*NOTA[[#This Row],[DISC 2]])</f>
        <v/>
      </c>
      <c r="Z461" s="46" t="str">
        <f>IF(NOTA[[#This Row],[JUMLAH]]="","",NOTA[[#This Row],[DISC 1-]]+NOTA[[#This Row],[DISC 2-]])</f>
        <v/>
      </c>
      <c r="AA461" s="46" t="str">
        <f>IF(NOTA[[#This Row],[JUMLAH]]="","",NOTA[[#This Row],[JUMLAH]]-NOTA[[#This Row],[DISC]])</f>
        <v/>
      </c>
      <c r="AB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46" t="str">
        <f>IF(OR(NOTA[[#This Row],[QTY]]="",NOTA[[#This Row],[HARGA SATUAN]]="",),"",NOTA[[#This Row],[QTY]]*NOTA[[#This Row],[HARGA SATUAN]])</f>
        <v/>
      </c>
      <c r="AF461" s="44" t="str">
        <f ca="1">IF(NOTA[ID_H]="","",INDEX(NOTA[TANGGAL],MATCH(,INDIRECT(ADDRESS(ROW(NOTA[TANGGAL]),COLUMN(NOTA[TANGGAL]))&amp;":"&amp;ADDRESS(ROW(),COLUMN(NOTA[TANGGAL]))),-1)))</f>
        <v/>
      </c>
      <c r="AG461" s="40" t="str">
        <f ca="1">IF(NOTA[[#This Row],[NAMA BARANG]]="","",INDEX(NOTA[SUPPLIER],MATCH(,INDIRECT(ADDRESS(ROW(NOTA[ID]),COLUMN(NOTA[ID]))&amp;":"&amp;ADDRESS(ROW(),COLUMN(NOTA[ID]))),-1)))</f>
        <v/>
      </c>
      <c r="AH461" s="16" t="str">
        <f ca="1">IF(NOTA[[#This Row],[ID]]="","",COUNTIF(NOTA[ID_H],NOTA[[#This Row],[ID_H]]))</f>
        <v/>
      </c>
      <c r="AI461" s="16" t="str">
        <f ca="1">IF(NOTA[[#This Row],[TGL.NOTA]]="",IF(NOTA[[#This Row],[SUPPLIER_H]]="","",AI460),MONTH(NOTA[[#This Row],[TGL.NOTA]]))</f>
        <v/>
      </c>
      <c r="AJ461" s="16"/>
    </row>
    <row r="462" spans="1:36" ht="20.100000000000001" customHeight="1" x14ac:dyDescent="0.25">
      <c r="A462" s="4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462" s="41" t="e">
        <f ca="1">IF(NOTA[[#This Row],[ID_P]]="","",MATCH(NOTA[[#This Row],[ID_P]],[1]!B_MSK[N_ID],0))</f>
        <v>#REF!</v>
      </c>
      <c r="D462" s="41">
        <f ca="1">IF(NOTA[[#This Row],[NAMA BARANG]]="","",INDEX(NOTA[ID],MATCH(,INDIRECT(ADDRESS(ROW(NOTA[ID]),COLUMN(NOTA[ID]))&amp;":"&amp;ADDRESS(ROW(),COLUMN(NOTA[ID]))),-1)))</f>
        <v>104</v>
      </c>
      <c r="E462" s="99"/>
      <c r="F462" s="16" t="s">
        <v>314</v>
      </c>
      <c r="G462" s="16" t="s">
        <v>87</v>
      </c>
      <c r="H462" s="24" t="s">
        <v>623</v>
      </c>
      <c r="I462" s="89"/>
      <c r="J462" s="91">
        <v>44858</v>
      </c>
      <c r="K462" s="89"/>
      <c r="L462" s="16" t="s">
        <v>624</v>
      </c>
      <c r="M462" s="92">
        <v>2</v>
      </c>
      <c r="N462" s="89">
        <v>60</v>
      </c>
      <c r="O462" s="16" t="s">
        <v>90</v>
      </c>
      <c r="P462" s="93">
        <v>61000</v>
      </c>
      <c r="Q462" s="163"/>
      <c r="R462" s="98" t="s">
        <v>625</v>
      </c>
      <c r="S462" s="95"/>
      <c r="T462" s="96"/>
      <c r="U462" s="97"/>
      <c r="V462" s="88"/>
      <c r="W462" s="46">
        <f>IF(NOTA[[#This Row],[HARGA/ CTN]]="",NOTA[[#This Row],[JUMLAH_H]],NOTA[[#This Row],[HARGA/ CTN]]*NOTA[[#This Row],[C]])</f>
        <v>3660000</v>
      </c>
      <c r="X462" s="46">
        <f>IF(NOTA[[#This Row],[JUMLAH]]="","",NOTA[[#This Row],[JUMLAH]]*NOTA[[#This Row],[DISC 1]])</f>
        <v>0</v>
      </c>
      <c r="Y462" s="46">
        <f>IF(NOTA[[#This Row],[JUMLAH]]="","",(NOTA[[#This Row],[JUMLAH]]-NOTA[[#This Row],[DISC 1-]])*NOTA[[#This Row],[DISC 2]])</f>
        <v>0</v>
      </c>
      <c r="Z462" s="46">
        <f>IF(NOTA[[#This Row],[JUMLAH]]="","",NOTA[[#This Row],[DISC 1-]]+NOTA[[#This Row],[DISC 2-]])</f>
        <v>0</v>
      </c>
      <c r="AA462" s="46">
        <f>IF(NOTA[[#This Row],[JUMLAH]]="","",NOTA[[#This Row],[JUMLAH]]-NOTA[[#This Row],[DISC]])</f>
        <v>3660000</v>
      </c>
      <c r="AB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62" s="46">
        <f>IF(OR(NOTA[[#This Row],[QTY]]="",NOTA[[#This Row],[HARGA SATUAN]]="",),"",NOTA[[#This Row],[QTY]]*NOTA[[#This Row],[HARGA SATUAN]])</f>
        <v>3660000</v>
      </c>
      <c r="AF462" s="44">
        <f ca="1">IF(NOTA[ID_H]="","",INDEX(NOTA[TANGGAL],MATCH(,INDIRECT(ADDRESS(ROW(NOTA[TANGGAL]),COLUMN(NOTA[TANGGAL]))&amp;":"&amp;ADDRESS(ROW(),COLUMN(NOTA[TANGGAL]))),-1)))</f>
        <v>44862</v>
      </c>
      <c r="AG462" s="40" t="str">
        <f ca="1">IF(NOTA[[#This Row],[NAMA BARANG]]="","",INDEX(NOTA[SUPPLIER],MATCH(,INDIRECT(ADDRESS(ROW(NOTA[ID]),COLUMN(NOTA[ID]))&amp;":"&amp;ADDRESS(ROW(),COLUMN(NOTA[ID]))),-1)))</f>
        <v>GUNINDO</v>
      </c>
      <c r="AH462" s="16">
        <f ca="1">IF(NOTA[[#This Row],[ID]]="","",COUNTIF(NOTA[ID_H],NOTA[[#This Row],[ID_H]]))</f>
        <v>1</v>
      </c>
      <c r="AI462" s="16">
        <f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 t="str">
        <f ca="1">IF(NOTA[[#This Row],[NAMA BARANG]]="","",INDEX(NOTA[ID],MATCH(,INDIRECT(ADDRESS(ROW(NOTA[ID]),COLUMN(NOTA[ID]))&amp;":"&amp;ADDRESS(ROW(),COLUMN(NOTA[ID]))),-1)))</f>
        <v/>
      </c>
      <c r="E463" s="99"/>
      <c r="F463" s="89"/>
      <c r="G463" s="89"/>
      <c r="H463" s="90"/>
      <c r="I463" s="89"/>
      <c r="J463" s="91"/>
      <c r="K463" s="89"/>
      <c r="M463" s="92"/>
      <c r="N463" s="89"/>
      <c r="O463" s="89"/>
      <c r="P463" s="93"/>
      <c r="Q463" s="163"/>
      <c r="R463" s="98"/>
      <c r="S463" s="95"/>
      <c r="T463" s="96"/>
      <c r="U463" s="97"/>
      <c r="V463" s="88"/>
      <c r="W463" s="46" t="str">
        <f>IF(NOTA[[#This Row],[HARGA/ CTN]]="",NOTA[[#This Row],[JUMLAH_H]],NOTA[[#This Row],[HARGA/ CTN]]*NOTA[[#This Row],[C]])</f>
        <v/>
      </c>
      <c r="X463" s="46" t="str">
        <f>IF(NOTA[[#This Row],[JUMLAH]]="","",NOTA[[#This Row],[JUMLAH]]*NOTA[[#This Row],[DISC 1]])</f>
        <v/>
      </c>
      <c r="Y463" s="46" t="str">
        <f>IF(NOTA[[#This Row],[JUMLAH]]="","",(NOTA[[#This Row],[JUMLAH]]-NOTA[[#This Row],[DISC 1-]])*NOTA[[#This Row],[DISC 2]])</f>
        <v/>
      </c>
      <c r="Z463" s="46" t="str">
        <f>IF(NOTA[[#This Row],[JUMLAH]]="","",NOTA[[#This Row],[DISC 1-]]+NOTA[[#This Row],[DISC 2-]])</f>
        <v/>
      </c>
      <c r="AA463" s="46" t="str">
        <f>IF(NOTA[[#This Row],[JUMLAH]]="","",NOTA[[#This Row],[JUMLAH]]-NOTA[[#This Row],[DISC]])</f>
        <v/>
      </c>
      <c r="AB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46" t="str">
        <f>IF(OR(NOTA[[#This Row],[QTY]]="",NOTA[[#This Row],[HARGA SATUAN]]="",),"",NOTA[[#This Row],[QTY]]*NOTA[[#This Row],[HARGA SATUAN]])</f>
        <v/>
      </c>
      <c r="AF463" s="44" t="str">
        <f ca="1">IF(NOTA[ID_H]="","",INDEX(NOTA[TANGGAL],MATCH(,INDIRECT(ADDRESS(ROW(NOTA[TANGGAL]),COLUMN(NOTA[TANGGAL]))&amp;":"&amp;ADDRESS(ROW(),COLUMN(NOTA[TANGGAL]))),-1)))</f>
        <v/>
      </c>
      <c r="AG463" s="40" t="str">
        <f ca="1">IF(NOTA[[#This Row],[NAMA BARANG]]="","",INDEX(NOTA[SUPPLIER],MATCH(,INDIRECT(ADDRESS(ROW(NOTA[ID]),COLUMN(NOTA[ID]))&amp;":"&amp;ADDRESS(ROW(),COLUMN(NOTA[ID]))),-1)))</f>
        <v/>
      </c>
      <c r="AH463" s="16" t="str">
        <f ca="1">IF(NOTA[[#This Row],[ID]]="","",COUNTIF(NOTA[ID_H],NOTA[[#This Row],[ID_H]]))</f>
        <v/>
      </c>
      <c r="AI463" s="16" t="str">
        <f ca="1">IF(NOTA[[#This Row],[TGL.NOTA]]="",IF(NOTA[[#This Row],[SUPPLIER_H]]="","",AI462),MONTH(NOTA[[#This Row],[TGL.NOTA]]))</f>
        <v/>
      </c>
      <c r="AJ463" s="16"/>
    </row>
    <row r="464" spans="1:36" ht="20.100000000000001" customHeight="1" x14ac:dyDescent="0.25">
      <c r="A464" s="4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6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464" s="41" t="e">
        <f ca="1">IF(NOTA[[#This Row],[ID_P]]="","",MATCH(NOTA[[#This Row],[ID_P]],[1]!B_MSK[N_ID],0))</f>
        <v>#REF!</v>
      </c>
      <c r="D464" s="41">
        <f ca="1">IF(NOTA[[#This Row],[NAMA BARANG]]="","",INDEX(NOTA[ID],MATCH(,INDIRECT(ADDRESS(ROW(NOTA[ID]),COLUMN(NOTA[ID]))&amp;":"&amp;ADDRESS(ROW(),COLUMN(NOTA[ID]))),-1)))</f>
        <v>105</v>
      </c>
      <c r="E464" s="99"/>
      <c r="F464" s="16" t="s">
        <v>250</v>
      </c>
      <c r="G464" s="16" t="s">
        <v>87</v>
      </c>
      <c r="H464" s="24" t="s">
        <v>626</v>
      </c>
      <c r="I464" s="89"/>
      <c r="J464" s="91">
        <v>44859</v>
      </c>
      <c r="L464" s="16" t="s">
        <v>671</v>
      </c>
      <c r="M464" s="92">
        <v>5</v>
      </c>
      <c r="N464" s="89">
        <v>300</v>
      </c>
      <c r="O464" s="16" t="s">
        <v>90</v>
      </c>
      <c r="P464" s="93">
        <v>42000</v>
      </c>
      <c r="Q464" s="163"/>
      <c r="R464" s="98" t="s">
        <v>625</v>
      </c>
      <c r="S464" s="95"/>
      <c r="T464" s="96"/>
      <c r="U464" s="97"/>
      <c r="V464" s="88"/>
      <c r="W464" s="46">
        <f>IF(NOTA[[#This Row],[HARGA/ CTN]]="",NOTA[[#This Row],[JUMLAH_H]],NOTA[[#This Row],[HARGA/ CTN]]*NOTA[[#This Row],[C]])</f>
        <v>12600000</v>
      </c>
      <c r="X464" s="46">
        <f>IF(NOTA[[#This Row],[JUMLAH]]="","",NOTA[[#This Row],[JUMLAH]]*NOTA[[#This Row],[DISC 1]])</f>
        <v>0</v>
      </c>
      <c r="Y464" s="46">
        <f>IF(NOTA[[#This Row],[JUMLAH]]="","",(NOTA[[#This Row],[JUMLAH]]-NOTA[[#This Row],[DISC 1-]])*NOTA[[#This Row],[DISC 2]])</f>
        <v>0</v>
      </c>
      <c r="Z464" s="46">
        <f>IF(NOTA[[#This Row],[JUMLAH]]="","",NOTA[[#This Row],[DISC 1-]]+NOTA[[#This Row],[DISC 2-]])</f>
        <v>0</v>
      </c>
      <c r="AA464" s="46">
        <f>IF(NOTA[[#This Row],[JUMLAH]]="","",NOTA[[#This Row],[JUMLAH]]-NOTA[[#This Row],[DISC]])</f>
        <v>12600000</v>
      </c>
      <c r="AB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464" s="46">
        <f>IF(OR(NOTA[[#This Row],[QTY]]="",NOTA[[#This Row],[HARGA SATUAN]]="",),"",NOTA[[#This Row],[QTY]]*NOTA[[#This Row],[HARGA SATUAN]])</f>
        <v>12600000</v>
      </c>
      <c r="AF464" s="44">
        <f ca="1">IF(NOTA[ID_H]="","",INDEX(NOTA[TANGGAL],MATCH(,INDIRECT(ADDRESS(ROW(NOTA[TANGGAL]),COLUMN(NOTA[TANGGAL]))&amp;":"&amp;ADDRESS(ROW(),COLUMN(NOTA[TANGGAL]))),-1)))</f>
        <v>44862</v>
      </c>
      <c r="AG464" s="40" t="str">
        <f ca="1">IF(NOTA[[#This Row],[NAMA BARANG]]="","",INDEX(NOTA[SUPPLIER],MATCH(,INDIRECT(ADDRESS(ROW(NOTA[ID]),COLUMN(NOTA[ID]))&amp;":"&amp;ADDRESS(ROW(),COLUMN(NOTA[ID]))),-1)))</f>
        <v>DUTA BUANA</v>
      </c>
      <c r="AH464" s="16">
        <f ca="1">IF(NOTA[[#This Row],[ID]]="","",COUNTIF(NOTA[ID_H],NOTA[[#This Row],[ID_H]]))</f>
        <v>10</v>
      </c>
      <c r="AI464" s="16">
        <f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105</v>
      </c>
      <c r="E465" s="99"/>
      <c r="F465" s="89"/>
      <c r="G465" s="89"/>
      <c r="H465" s="90"/>
      <c r="I465" s="89"/>
      <c r="J465" s="91"/>
      <c r="K465" s="89"/>
      <c r="L465" s="16" t="s">
        <v>627</v>
      </c>
      <c r="M465" s="92">
        <v>5</v>
      </c>
      <c r="N465" s="89">
        <v>360</v>
      </c>
      <c r="O465" s="16" t="s">
        <v>204</v>
      </c>
      <c r="P465" s="93">
        <v>23500</v>
      </c>
      <c r="Q465" s="163"/>
      <c r="R465" s="98" t="s">
        <v>628</v>
      </c>
      <c r="S465" s="95"/>
      <c r="T465" s="96"/>
      <c r="U465" s="97"/>
      <c r="V465" s="88"/>
      <c r="W465" s="46">
        <f>IF(NOTA[[#This Row],[HARGA/ CTN]]="",NOTA[[#This Row],[JUMLAH_H]],NOTA[[#This Row],[HARGA/ CTN]]*NOTA[[#This Row],[C]])</f>
        <v>8460000</v>
      </c>
      <c r="X465" s="46">
        <f>IF(NOTA[[#This Row],[JUMLAH]]="","",NOTA[[#This Row],[JUMLAH]]*NOTA[[#This Row],[DISC 1]])</f>
        <v>0</v>
      </c>
      <c r="Y465" s="46">
        <f>IF(NOTA[[#This Row],[JUMLAH]]="","",(NOTA[[#This Row],[JUMLAH]]-NOTA[[#This Row],[DISC 1-]])*NOTA[[#This Row],[DISC 2]])</f>
        <v>0</v>
      </c>
      <c r="Z465" s="46">
        <f>IF(NOTA[[#This Row],[JUMLAH]]="","",NOTA[[#This Row],[DISC 1-]]+NOTA[[#This Row],[DISC 2-]])</f>
        <v>0</v>
      </c>
      <c r="AA465" s="46">
        <f>IF(NOTA[[#This Row],[JUMLAH]]="","",NOTA[[#This Row],[JUMLAH]]-NOTA[[#This Row],[DISC]])</f>
        <v>8460000</v>
      </c>
      <c r="AB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465" s="46">
        <f>IF(OR(NOTA[[#This Row],[QTY]]="",NOTA[[#This Row],[HARGA SATUAN]]="",),"",NOTA[[#This Row],[QTY]]*NOTA[[#This Row],[HARGA SATUAN]])</f>
        <v>8460000</v>
      </c>
      <c r="AF465" s="44">
        <f ca="1">IF(NOTA[ID_H]="","",INDEX(NOTA[TANGGAL],MATCH(,INDIRECT(ADDRESS(ROW(NOTA[TANGGAL]),COLUMN(NOTA[TANGGAL]))&amp;":"&amp;ADDRESS(ROW(),COLUMN(NOTA[TANGGAL]))),-1)))</f>
        <v>44862</v>
      </c>
      <c r="AG465" s="40" t="str">
        <f ca="1">IF(NOTA[[#This Row],[NAMA BARANG]]="","",INDEX(NOTA[SUPPLIER],MATCH(,INDIRECT(ADDRESS(ROW(NOTA[ID]),COLUMN(NOTA[ID]))&amp;":"&amp;ADDRESS(ROW(),COLUMN(NOTA[ID]))),-1)))</f>
        <v>DUTA BUANA</v>
      </c>
      <c r="AH465" s="16" t="str">
        <f ca="1">IF(NOTA[[#This Row],[ID]]="","",COUNTIF(NOTA[ID_H],NOTA[[#This Row],[ID_H]]))</f>
        <v/>
      </c>
      <c r="AI465" s="16">
        <f ca="1">IF(NOTA[[#This Row],[TGL.NOTA]]="",IF(NOTA[[#This Row],[SUPPLIER_H]]="","",AI464),MONTH(NOTA[[#This Row],[TGL.NOTA]]))</f>
        <v>10</v>
      </c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105</v>
      </c>
      <c r="E466" s="99"/>
      <c r="H466" s="24"/>
      <c r="I466" s="89"/>
      <c r="J466" s="91"/>
      <c r="K466" s="89"/>
      <c r="L466" s="16" t="s">
        <v>631</v>
      </c>
      <c r="M466" s="92">
        <v>2</v>
      </c>
      <c r="N466" s="89">
        <v>400</v>
      </c>
      <c r="O466" s="16" t="s">
        <v>90</v>
      </c>
      <c r="P466" s="93">
        <v>10000</v>
      </c>
      <c r="Q466" s="163"/>
      <c r="R466" s="98" t="s">
        <v>629</v>
      </c>
      <c r="S466" s="95"/>
      <c r="T466" s="96"/>
      <c r="U466" s="97"/>
      <c r="V466" s="88"/>
      <c r="W466" s="46">
        <f>IF(NOTA[[#This Row],[HARGA/ CTN]]="",NOTA[[#This Row],[JUMLAH_H]],NOTA[[#This Row],[HARGA/ CTN]]*NOTA[[#This Row],[C]])</f>
        <v>4000000</v>
      </c>
      <c r="X466" s="46">
        <f>IF(NOTA[[#This Row],[JUMLAH]]="","",NOTA[[#This Row],[JUMLAH]]*NOTA[[#This Row],[DISC 1]])</f>
        <v>0</v>
      </c>
      <c r="Y466" s="46">
        <f>IF(NOTA[[#This Row],[JUMLAH]]="","",(NOTA[[#This Row],[JUMLAH]]-NOTA[[#This Row],[DISC 1-]])*NOTA[[#This Row],[DISC 2]])</f>
        <v>0</v>
      </c>
      <c r="Z466" s="46">
        <f>IF(NOTA[[#This Row],[JUMLAH]]="","",NOTA[[#This Row],[DISC 1-]]+NOTA[[#This Row],[DISC 2-]])</f>
        <v>0</v>
      </c>
      <c r="AA466" s="46">
        <f>IF(NOTA[[#This Row],[JUMLAH]]="","",NOTA[[#This Row],[JUMLAH]]-NOTA[[#This Row],[DISC]])</f>
        <v>4000000</v>
      </c>
      <c r="AB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66" s="46">
        <f>IF(OR(NOTA[[#This Row],[QTY]]="",NOTA[[#This Row],[HARGA SATUAN]]="",),"",NOTA[[#This Row],[QTY]]*NOTA[[#This Row],[HARGA SATUAN]])</f>
        <v>4000000</v>
      </c>
      <c r="AF466" s="44">
        <f ca="1">IF(NOTA[ID_H]="","",INDEX(NOTA[TANGGAL],MATCH(,INDIRECT(ADDRESS(ROW(NOTA[TANGGAL]),COLUMN(NOTA[TANGGAL]))&amp;":"&amp;ADDRESS(ROW(),COLUMN(NOTA[TANGGAL]))),-1)))</f>
        <v>44862</v>
      </c>
      <c r="AG466" s="40" t="str">
        <f ca="1">IF(NOTA[[#This Row],[NAMA BARANG]]="","",INDEX(NOTA[SUPPLIER],MATCH(,INDIRECT(ADDRESS(ROW(NOTA[ID]),COLUMN(NOTA[ID]))&amp;":"&amp;ADDRESS(ROW(),COLUMN(NOTA[ID]))),-1)))</f>
        <v>DUTA BUANA</v>
      </c>
      <c r="AH466" s="16" t="str">
        <f ca="1">IF(NOTA[[#This Row],[ID]]="","",COUNTIF(NOTA[ID_H],NOTA[[#This Row],[ID_H]]))</f>
        <v/>
      </c>
      <c r="AI466" s="16">
        <f ca="1"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1" t="str">
        <f>IF(NOTA[[#This Row],[ID_P]]="","",MATCH(NOTA[[#This Row],[ID_P]],[1]!B_MSK[N_ID],0))</f>
        <v/>
      </c>
      <c r="D467" s="41">
        <f ca="1">IF(NOTA[[#This Row],[NAMA BARANG]]="","",INDEX(NOTA[ID],MATCH(,INDIRECT(ADDRESS(ROW(NOTA[ID]),COLUMN(NOTA[ID]))&amp;":"&amp;ADDRESS(ROW(),COLUMN(NOTA[ID]))),-1)))</f>
        <v>105</v>
      </c>
      <c r="E467" s="99"/>
      <c r="F467" s="89"/>
      <c r="G467" s="89"/>
      <c r="H467" s="90"/>
      <c r="I467" s="89"/>
      <c r="J467" s="91"/>
      <c r="K467" s="89"/>
      <c r="L467" s="16" t="s">
        <v>630</v>
      </c>
      <c r="M467" s="92">
        <v>2</v>
      </c>
      <c r="N467" s="89">
        <v>96</v>
      </c>
      <c r="O467" s="16" t="s">
        <v>90</v>
      </c>
      <c r="P467" s="93">
        <v>25000</v>
      </c>
      <c r="Q467" s="160"/>
      <c r="R467" s="98" t="s">
        <v>632</v>
      </c>
      <c r="S467" s="95"/>
      <c r="T467" s="96"/>
      <c r="U467" s="97"/>
      <c r="V467" s="88"/>
      <c r="W467" s="46">
        <f>IF(NOTA[[#This Row],[HARGA/ CTN]]="",NOTA[[#This Row],[JUMLAH_H]],NOTA[[#This Row],[HARGA/ CTN]]*NOTA[[#This Row],[C]])</f>
        <v>2400000</v>
      </c>
      <c r="X467" s="46">
        <f>IF(NOTA[[#This Row],[JUMLAH]]="","",NOTA[[#This Row],[JUMLAH]]*NOTA[[#This Row],[DISC 1]])</f>
        <v>0</v>
      </c>
      <c r="Y467" s="46">
        <f>IF(NOTA[[#This Row],[JUMLAH]]="","",(NOTA[[#This Row],[JUMLAH]]-NOTA[[#This Row],[DISC 1-]])*NOTA[[#This Row],[DISC 2]])</f>
        <v>0</v>
      </c>
      <c r="Z467" s="46">
        <f>IF(NOTA[[#This Row],[JUMLAH]]="","",NOTA[[#This Row],[DISC 1-]]+NOTA[[#This Row],[DISC 2-]])</f>
        <v>0</v>
      </c>
      <c r="AA467" s="46">
        <f>IF(NOTA[[#This Row],[JUMLAH]]="","",NOTA[[#This Row],[JUMLAH]]-NOTA[[#This Row],[DISC]])</f>
        <v>2400000</v>
      </c>
      <c r="AB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7" s="46">
        <f>IF(OR(NOTA[[#This Row],[QTY]]="",NOTA[[#This Row],[HARGA SATUAN]]="",),"",NOTA[[#This Row],[QTY]]*NOTA[[#This Row],[HARGA SATUAN]])</f>
        <v>2400000</v>
      </c>
      <c r="AF467" s="44">
        <f ca="1">IF(NOTA[ID_H]="","",INDEX(NOTA[TANGGAL],MATCH(,INDIRECT(ADDRESS(ROW(NOTA[TANGGAL]),COLUMN(NOTA[TANGGAL]))&amp;":"&amp;ADDRESS(ROW(),COLUMN(NOTA[TANGGAL]))),-1)))</f>
        <v>44862</v>
      </c>
      <c r="AG467" s="40" t="str">
        <f ca="1">IF(NOTA[[#This Row],[NAMA BARANG]]="","",INDEX(NOTA[SUPPLIER],MATCH(,INDIRECT(ADDRESS(ROW(NOTA[ID]),COLUMN(NOTA[ID]))&amp;":"&amp;ADDRESS(ROW(),COLUMN(NOTA[ID]))),-1)))</f>
        <v>DUTA BUANA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1" t="str">
        <f>IF(NOTA[[#This Row],[ID_P]]="","",MATCH(NOTA[[#This Row],[ID_P]],[1]!B_MSK[N_ID],0))</f>
        <v/>
      </c>
      <c r="D468" s="41">
        <f ca="1">IF(NOTA[[#This Row],[NAMA BARANG]]="","",INDEX(NOTA[ID],MATCH(,INDIRECT(ADDRESS(ROW(NOTA[ID]),COLUMN(NOTA[ID]))&amp;":"&amp;ADDRESS(ROW(),COLUMN(NOTA[ID]))),-1)))</f>
        <v>105</v>
      </c>
      <c r="E468" s="99"/>
      <c r="H468" s="24"/>
      <c r="I468" s="89"/>
      <c r="J468" s="91"/>
      <c r="K468" s="89"/>
      <c r="L468" s="16" t="s">
        <v>672</v>
      </c>
      <c r="M468" s="92">
        <v>2</v>
      </c>
      <c r="N468" s="16">
        <v>80</v>
      </c>
      <c r="O468" s="16" t="s">
        <v>90</v>
      </c>
      <c r="P468" s="93">
        <v>32000</v>
      </c>
      <c r="Q468" s="163"/>
      <c r="R468" s="98" t="s">
        <v>247</v>
      </c>
      <c r="S468" s="95"/>
      <c r="T468" s="96"/>
      <c r="U468" s="97"/>
      <c r="V468" s="88"/>
      <c r="W468" s="46">
        <f>IF(NOTA[[#This Row],[HARGA/ CTN]]="",NOTA[[#This Row],[JUMLAH_H]],NOTA[[#This Row],[HARGA/ CTN]]*NOTA[[#This Row],[C]])</f>
        <v>2560000</v>
      </c>
      <c r="X468" s="46">
        <f>IF(NOTA[[#This Row],[JUMLAH]]="","",NOTA[[#This Row],[JUMLAH]]*NOTA[[#This Row],[DISC 1]])</f>
        <v>0</v>
      </c>
      <c r="Y468" s="46">
        <f>IF(NOTA[[#This Row],[JUMLAH]]="","",(NOTA[[#This Row],[JUMLAH]]-NOTA[[#This Row],[DISC 1-]])*NOTA[[#This Row],[DISC 2]])</f>
        <v>0</v>
      </c>
      <c r="Z468" s="46">
        <f>IF(NOTA[[#This Row],[JUMLAH]]="","",NOTA[[#This Row],[DISC 1-]]+NOTA[[#This Row],[DISC 2-]])</f>
        <v>0</v>
      </c>
      <c r="AA468" s="46">
        <f>IF(NOTA[[#This Row],[JUMLAH]]="","",NOTA[[#This Row],[JUMLAH]]-NOTA[[#This Row],[DISC]])</f>
        <v>2560000</v>
      </c>
      <c r="AB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468" s="46">
        <f>IF(OR(NOTA[[#This Row],[QTY]]="",NOTA[[#This Row],[HARGA SATUAN]]="",),"",NOTA[[#This Row],[QTY]]*NOTA[[#This Row],[HARGA SATUAN]])</f>
        <v>2560000</v>
      </c>
      <c r="AF468" s="44">
        <f ca="1">IF(NOTA[ID_H]="","",INDEX(NOTA[TANGGAL],MATCH(,INDIRECT(ADDRESS(ROW(NOTA[TANGGAL]),COLUMN(NOTA[TANGGAL]))&amp;":"&amp;ADDRESS(ROW(),COLUMN(NOTA[TANGGAL]))),-1)))</f>
        <v>44862</v>
      </c>
      <c r="AG468" s="40" t="str">
        <f ca="1">IF(NOTA[[#This Row],[NAMA BARANG]]="","",INDEX(NOTA[SUPPLIER],MATCH(,INDIRECT(ADDRESS(ROW(NOTA[ID]),COLUMN(NOTA[ID]))&amp;":"&amp;ADDRESS(ROW(),COLUMN(NOTA[ID]))),-1)))</f>
        <v>DUTA BUANA</v>
      </c>
      <c r="AH468" s="16" t="str">
        <f ca="1">IF(NOTA[[#This Row],[ID]]="","",COUNTIF(NOTA[ID_H],NOTA[[#This Row],[ID_H]]))</f>
        <v/>
      </c>
      <c r="AI468" s="16">
        <f ca="1">IF(NOTA[[#This Row],[TGL.NOTA]]="",IF(NOTA[[#This Row],[SUPPLIER_H]]="","",AI467),MONTH(NOTA[[#This Row],[TGL.NOTA]]))</f>
        <v>10</v>
      </c>
      <c r="AJ468" s="16"/>
    </row>
    <row r="469" spans="1:36" ht="20.100000000000001" customHeight="1" x14ac:dyDescent="0.25">
      <c r="A46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1" t="str">
        <f>IF(NOTA[[#This Row],[ID_P]]="","",MATCH(NOTA[[#This Row],[ID_P]],[1]!B_MSK[N_ID],0))</f>
        <v/>
      </c>
      <c r="D469" s="41">
        <f ca="1">IF(NOTA[[#This Row],[NAMA BARANG]]="","",INDEX(NOTA[ID],MATCH(,INDIRECT(ADDRESS(ROW(NOTA[ID]),COLUMN(NOTA[ID]))&amp;":"&amp;ADDRESS(ROW(),COLUMN(NOTA[ID]))),-1)))</f>
        <v>105</v>
      </c>
      <c r="E469" s="99"/>
      <c r="F469" s="89"/>
      <c r="G469" s="89"/>
      <c r="H469" s="90"/>
      <c r="I469" s="89"/>
      <c r="J469" s="91"/>
      <c r="K469" s="89"/>
      <c r="L469" s="16" t="s">
        <v>633</v>
      </c>
      <c r="M469" s="92">
        <v>5</v>
      </c>
      <c r="N469" s="89">
        <v>100</v>
      </c>
      <c r="O469" s="16" t="s">
        <v>220</v>
      </c>
      <c r="P469" s="93">
        <v>78975</v>
      </c>
      <c r="Q469" s="163"/>
      <c r="R469" s="98" t="s">
        <v>197</v>
      </c>
      <c r="S469" s="95"/>
      <c r="T469" s="96"/>
      <c r="U469" s="97"/>
      <c r="V469" s="88"/>
      <c r="W469" s="46">
        <f>IF(NOTA[[#This Row],[HARGA/ CTN]]="",NOTA[[#This Row],[JUMLAH_H]],NOTA[[#This Row],[HARGA/ CTN]]*NOTA[[#This Row],[C]])</f>
        <v>7897500</v>
      </c>
      <c r="X469" s="46">
        <f>IF(NOTA[[#This Row],[JUMLAH]]="","",NOTA[[#This Row],[JUMLAH]]*NOTA[[#This Row],[DISC 1]])</f>
        <v>0</v>
      </c>
      <c r="Y469" s="46">
        <f>IF(NOTA[[#This Row],[JUMLAH]]="","",(NOTA[[#This Row],[JUMLAH]]-NOTA[[#This Row],[DISC 1-]])*NOTA[[#This Row],[DISC 2]])</f>
        <v>0</v>
      </c>
      <c r="Z469" s="46">
        <f>IF(NOTA[[#This Row],[JUMLAH]]="","",NOTA[[#This Row],[DISC 1-]]+NOTA[[#This Row],[DISC 2-]])</f>
        <v>0</v>
      </c>
      <c r="AA469" s="46">
        <f>IF(NOTA[[#This Row],[JUMLAH]]="","",NOTA[[#This Row],[JUMLAH]]-NOTA[[#This Row],[DISC]])</f>
        <v>7897500</v>
      </c>
      <c r="AB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69" s="46">
        <f>IF(OR(NOTA[[#This Row],[QTY]]="",NOTA[[#This Row],[HARGA SATUAN]]="",),"",NOTA[[#This Row],[QTY]]*NOTA[[#This Row],[HARGA SATUAN]])</f>
        <v>7897500</v>
      </c>
      <c r="AF469" s="44">
        <f ca="1">IF(NOTA[ID_H]="","",INDEX(NOTA[TANGGAL],MATCH(,INDIRECT(ADDRESS(ROW(NOTA[TANGGAL]),COLUMN(NOTA[TANGGAL]))&amp;":"&amp;ADDRESS(ROW(),COLUMN(NOTA[TANGGAL]))),-1)))</f>
        <v>44862</v>
      </c>
      <c r="AG469" s="40" t="str">
        <f ca="1">IF(NOTA[[#This Row],[NAMA BARANG]]="","",INDEX(NOTA[SUPPLIER],MATCH(,INDIRECT(ADDRESS(ROW(NOTA[ID]),COLUMN(NOTA[ID]))&amp;":"&amp;ADDRESS(ROW(),COLUMN(NOTA[ID]))),-1)))</f>
        <v>DUTA BUANA</v>
      </c>
      <c r="AH469" s="16" t="str">
        <f ca="1">IF(NOTA[[#This Row],[ID]]="","",COUNTIF(NOTA[ID_H],NOTA[[#This Row],[ID_H]]))</f>
        <v/>
      </c>
      <c r="AI469" s="16">
        <f ca="1"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1" t="str">
        <f>IF(NOTA[[#This Row],[ID_P]]="","",MATCH(NOTA[[#This Row],[ID_P]],[1]!B_MSK[N_ID],0))</f>
        <v/>
      </c>
      <c r="D470" s="41">
        <f ca="1">IF(NOTA[[#This Row],[NAMA BARANG]]="","",INDEX(NOTA[ID],MATCH(,INDIRECT(ADDRESS(ROW(NOTA[ID]),COLUMN(NOTA[ID]))&amp;":"&amp;ADDRESS(ROW(),COLUMN(NOTA[ID]))),-1)))</f>
        <v>105</v>
      </c>
      <c r="E470" s="99"/>
      <c r="H470" s="24"/>
      <c r="J470" s="91"/>
      <c r="K470" s="89"/>
      <c r="L470" s="16" t="s">
        <v>634</v>
      </c>
      <c r="M470" s="92">
        <v>5</v>
      </c>
      <c r="N470" s="89">
        <v>100</v>
      </c>
      <c r="O470" s="16" t="s">
        <v>220</v>
      </c>
      <c r="P470" s="93">
        <v>78975</v>
      </c>
      <c r="Q470" s="163"/>
      <c r="R470" s="98" t="s">
        <v>197</v>
      </c>
      <c r="S470" s="95"/>
      <c r="T470" s="96"/>
      <c r="U470" s="97"/>
      <c r="V470" s="88"/>
      <c r="W470" s="46">
        <f>IF(NOTA[[#This Row],[HARGA/ CTN]]="",NOTA[[#This Row],[JUMLAH_H]],NOTA[[#This Row],[HARGA/ CTN]]*NOTA[[#This Row],[C]])</f>
        <v>7897500</v>
      </c>
      <c r="X470" s="46">
        <f>IF(NOTA[[#This Row],[JUMLAH]]="","",NOTA[[#This Row],[JUMLAH]]*NOTA[[#This Row],[DISC 1]])</f>
        <v>0</v>
      </c>
      <c r="Y470" s="46">
        <f>IF(NOTA[[#This Row],[JUMLAH]]="","",(NOTA[[#This Row],[JUMLAH]]-NOTA[[#This Row],[DISC 1-]])*NOTA[[#This Row],[DISC 2]])</f>
        <v>0</v>
      </c>
      <c r="Z470" s="46">
        <f>IF(NOTA[[#This Row],[JUMLAH]]="","",NOTA[[#This Row],[DISC 1-]]+NOTA[[#This Row],[DISC 2-]])</f>
        <v>0</v>
      </c>
      <c r="AA470" s="46">
        <f>IF(NOTA[[#This Row],[JUMLAH]]="","",NOTA[[#This Row],[JUMLAH]]-NOTA[[#This Row],[DISC]])</f>
        <v>7897500</v>
      </c>
      <c r="AB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0" s="46">
        <f>IF(OR(NOTA[[#This Row],[QTY]]="",NOTA[[#This Row],[HARGA SATUAN]]="",),"",NOTA[[#This Row],[QTY]]*NOTA[[#This Row],[HARGA SATUAN]])</f>
        <v>7897500</v>
      </c>
      <c r="AF470" s="44">
        <f ca="1">IF(NOTA[ID_H]="","",INDEX(NOTA[TANGGAL],MATCH(,INDIRECT(ADDRESS(ROW(NOTA[TANGGAL]),COLUMN(NOTA[TANGGAL]))&amp;":"&amp;ADDRESS(ROW(),COLUMN(NOTA[TANGGAL]))),-1)))</f>
        <v>44862</v>
      </c>
      <c r="AG470" s="40" t="str">
        <f ca="1">IF(NOTA[[#This Row],[NAMA BARANG]]="","",INDEX(NOTA[SUPPLIER],MATCH(,INDIRECT(ADDRESS(ROW(NOTA[ID]),COLUMN(NOTA[ID]))&amp;":"&amp;ADDRESS(ROW(),COLUMN(NOTA[ID]))),-1)))</f>
        <v>DUTA BUANA</v>
      </c>
      <c r="AH470" s="16" t="str">
        <f ca="1">IF(NOTA[[#This Row],[ID]]="","",COUNTIF(NOTA[ID_H],NOTA[[#This Row],[ID_H]]))</f>
        <v/>
      </c>
      <c r="AI470" s="16">
        <f ca="1">IF(NOTA[[#This Row],[TGL.NOTA]]="",IF(NOTA[[#This Row],[SUPPLIER_H]]="","",AI469),MONTH(NOTA[[#This Row],[TGL.NOTA]]))</f>
        <v>10</v>
      </c>
      <c r="AJ470" s="16"/>
    </row>
    <row r="471" spans="1:36" ht="20.100000000000001" customHeight="1" x14ac:dyDescent="0.25">
      <c r="A47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41" t="str">
        <f>IF(NOTA[[#This Row],[ID_P]]="","",MATCH(NOTA[[#This Row],[ID_P]],[1]!B_MSK[N_ID],0))</f>
        <v/>
      </c>
      <c r="D471" s="41">
        <f ca="1">IF(NOTA[[#This Row],[NAMA BARANG]]="","",INDEX(NOTA[ID],MATCH(,INDIRECT(ADDRESS(ROW(NOTA[ID]),COLUMN(NOTA[ID]))&amp;":"&amp;ADDRESS(ROW(),COLUMN(NOTA[ID]))),-1)))</f>
        <v>105</v>
      </c>
      <c r="E471" s="99"/>
      <c r="F471" s="89"/>
      <c r="G471" s="89"/>
      <c r="H471" s="90"/>
      <c r="I471" s="89"/>
      <c r="J471" s="91"/>
      <c r="K471" s="89"/>
      <c r="L471" s="16" t="s">
        <v>635</v>
      </c>
      <c r="M471" s="92">
        <v>5</v>
      </c>
      <c r="N471" s="89">
        <v>100</v>
      </c>
      <c r="O471" s="16" t="s">
        <v>220</v>
      </c>
      <c r="P471" s="93">
        <v>78975</v>
      </c>
      <c r="Q471" s="163"/>
      <c r="R471" s="98" t="s">
        <v>197</v>
      </c>
      <c r="S471" s="95"/>
      <c r="T471" s="96"/>
      <c r="U471" s="97"/>
      <c r="V471" s="88"/>
      <c r="W471" s="46">
        <f>IF(NOTA[[#This Row],[HARGA/ CTN]]="",NOTA[[#This Row],[JUMLAH_H]],NOTA[[#This Row],[HARGA/ CTN]]*NOTA[[#This Row],[C]])</f>
        <v>7897500</v>
      </c>
      <c r="X471" s="46">
        <f>IF(NOTA[[#This Row],[JUMLAH]]="","",NOTA[[#This Row],[JUMLAH]]*NOTA[[#This Row],[DISC 1]])</f>
        <v>0</v>
      </c>
      <c r="Y471" s="46">
        <f>IF(NOTA[[#This Row],[JUMLAH]]="","",(NOTA[[#This Row],[JUMLAH]]-NOTA[[#This Row],[DISC 1-]])*NOTA[[#This Row],[DISC 2]])</f>
        <v>0</v>
      </c>
      <c r="Z471" s="46">
        <f>IF(NOTA[[#This Row],[JUMLAH]]="","",NOTA[[#This Row],[DISC 1-]]+NOTA[[#This Row],[DISC 2-]])</f>
        <v>0</v>
      </c>
      <c r="AA471" s="46">
        <f>IF(NOTA[[#This Row],[JUMLAH]]="","",NOTA[[#This Row],[JUMLAH]]-NOTA[[#This Row],[DISC]])</f>
        <v>7897500</v>
      </c>
      <c r="AB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1" s="46">
        <f>IF(OR(NOTA[[#This Row],[QTY]]="",NOTA[[#This Row],[HARGA SATUAN]]="",),"",NOTA[[#This Row],[QTY]]*NOTA[[#This Row],[HARGA SATUAN]])</f>
        <v>7897500</v>
      </c>
      <c r="AF471" s="44">
        <f ca="1">IF(NOTA[ID_H]="","",INDEX(NOTA[TANGGAL],MATCH(,INDIRECT(ADDRESS(ROW(NOTA[TANGGAL]),COLUMN(NOTA[TANGGAL]))&amp;":"&amp;ADDRESS(ROW(),COLUMN(NOTA[TANGGAL]))),-1)))</f>
        <v>44862</v>
      </c>
      <c r="AG471" s="40" t="str">
        <f ca="1">IF(NOTA[[#This Row],[NAMA BARANG]]="","",INDEX(NOTA[SUPPLIER],MATCH(,INDIRECT(ADDRESS(ROW(NOTA[ID]),COLUMN(NOTA[ID]))&amp;":"&amp;ADDRESS(ROW(),COLUMN(NOTA[ID]))),-1)))</f>
        <v>DUTA BUANA</v>
      </c>
      <c r="AH471" s="16" t="str">
        <f ca="1">IF(NOTA[[#This Row],[ID]]="","",COUNTIF(NOTA[ID_H],NOTA[[#This Row],[ID_H]]))</f>
        <v/>
      </c>
      <c r="AI471" s="16">
        <f ca="1"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1" t="str">
        <f>IF(NOTA[[#This Row],[ID_P]]="","",MATCH(NOTA[[#This Row],[ID_P]],[1]!B_MSK[N_ID],0))</f>
        <v/>
      </c>
      <c r="D472" s="41">
        <f ca="1">IF(NOTA[[#This Row],[NAMA BARANG]]="","",INDEX(NOTA[ID],MATCH(,INDIRECT(ADDRESS(ROW(NOTA[ID]),COLUMN(NOTA[ID]))&amp;":"&amp;ADDRESS(ROW(),COLUMN(NOTA[ID]))),-1)))</f>
        <v>105</v>
      </c>
      <c r="E472" s="99"/>
      <c r="F472" s="89"/>
      <c r="G472" s="89"/>
      <c r="H472" s="90"/>
      <c r="I472" s="89"/>
      <c r="J472" s="91"/>
      <c r="K472" s="89"/>
      <c r="L472" s="16" t="s">
        <v>670</v>
      </c>
      <c r="M472" s="92">
        <v>5</v>
      </c>
      <c r="N472" s="89">
        <v>100</v>
      </c>
      <c r="O472" s="16" t="s">
        <v>220</v>
      </c>
      <c r="P472" s="93">
        <v>78975</v>
      </c>
      <c r="Q472" s="163"/>
      <c r="R472" s="98" t="s">
        <v>197</v>
      </c>
      <c r="S472" s="95"/>
      <c r="T472" s="96"/>
      <c r="U472" s="97"/>
      <c r="V472" s="88"/>
      <c r="W472" s="46">
        <f>IF(NOTA[[#This Row],[HARGA/ CTN]]="",NOTA[[#This Row],[JUMLAH_H]],NOTA[[#This Row],[HARGA/ CTN]]*NOTA[[#This Row],[C]])</f>
        <v>7897500</v>
      </c>
      <c r="X472" s="46">
        <f>IF(NOTA[[#This Row],[JUMLAH]]="","",NOTA[[#This Row],[JUMLAH]]*NOTA[[#This Row],[DISC 1]])</f>
        <v>0</v>
      </c>
      <c r="Y472" s="46">
        <f>IF(NOTA[[#This Row],[JUMLAH]]="","",(NOTA[[#This Row],[JUMLAH]]-NOTA[[#This Row],[DISC 1-]])*NOTA[[#This Row],[DISC 2]])</f>
        <v>0</v>
      </c>
      <c r="Z472" s="46">
        <f>IF(NOTA[[#This Row],[JUMLAH]]="","",NOTA[[#This Row],[DISC 1-]]+NOTA[[#This Row],[DISC 2-]])</f>
        <v>0</v>
      </c>
      <c r="AA472" s="46">
        <f>IF(NOTA[[#This Row],[JUMLAH]]="","",NOTA[[#This Row],[JUMLAH]]-NOTA[[#This Row],[DISC]])</f>
        <v>7897500</v>
      </c>
      <c r="AB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2" s="46">
        <f>IF(OR(NOTA[[#This Row],[QTY]]="",NOTA[[#This Row],[HARGA SATUAN]]="",),"",NOTA[[#This Row],[QTY]]*NOTA[[#This Row],[HARGA SATUAN]])</f>
        <v>7897500</v>
      </c>
      <c r="AF472" s="44">
        <f ca="1">IF(NOTA[ID_H]="","",INDEX(NOTA[TANGGAL],MATCH(,INDIRECT(ADDRESS(ROW(NOTA[TANGGAL]),COLUMN(NOTA[TANGGAL]))&amp;":"&amp;ADDRESS(ROW(),COLUMN(NOTA[TANGGAL]))),-1)))</f>
        <v>44862</v>
      </c>
      <c r="AG472" s="40" t="str">
        <f ca="1">IF(NOTA[[#This Row],[NAMA BARANG]]="","",INDEX(NOTA[SUPPLIER],MATCH(,INDIRECT(ADDRESS(ROW(NOTA[ID]),COLUMN(NOTA[ID]))&amp;":"&amp;ADDRESS(ROW(),COLUMN(NOTA[ID]))),-1)))</f>
        <v>DUTA BUANA</v>
      </c>
      <c r="AH472" s="16" t="str">
        <f ca="1">IF(NOTA[[#This Row],[ID]]="","",COUNTIF(NOTA[ID_H],NOTA[[#This Row],[ID_H]]))</f>
        <v/>
      </c>
      <c r="AI472" s="16">
        <f ca="1">IF(NOTA[[#This Row],[TGL.NOTA]]="",IF(NOTA[[#This Row],[SUPPLIER_H]]="","",AI471),MONTH(NOTA[[#This Row],[TGL.NOTA]]))</f>
        <v>10</v>
      </c>
      <c r="AJ472" s="16"/>
    </row>
    <row r="473" spans="1:36" ht="20.100000000000001" customHeight="1" x14ac:dyDescent="0.25">
      <c r="A47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1" t="str">
        <f>IF(NOTA[[#This Row],[ID_P]]="","",MATCH(NOTA[[#This Row],[ID_P]],[1]!B_MSK[N_ID],0))</f>
        <v/>
      </c>
      <c r="D473" s="41">
        <f ca="1">IF(NOTA[[#This Row],[NAMA BARANG]]="","",INDEX(NOTA[ID],MATCH(,INDIRECT(ADDRESS(ROW(NOTA[ID]),COLUMN(NOTA[ID]))&amp;":"&amp;ADDRESS(ROW(),COLUMN(NOTA[ID]))),-1)))</f>
        <v>105</v>
      </c>
      <c r="E473" s="99"/>
      <c r="F473" s="89"/>
      <c r="G473" s="89"/>
      <c r="H473" s="90"/>
      <c r="I473" s="89"/>
      <c r="J473" s="91"/>
      <c r="K473" s="89"/>
      <c r="L473" s="16" t="s">
        <v>636</v>
      </c>
      <c r="M473" s="92">
        <v>5</v>
      </c>
      <c r="N473" s="89">
        <v>100</v>
      </c>
      <c r="O473" s="16" t="s">
        <v>220</v>
      </c>
      <c r="P473" s="93">
        <v>78975</v>
      </c>
      <c r="Q473" s="163"/>
      <c r="R473" s="98" t="s">
        <v>197</v>
      </c>
      <c r="S473" s="95"/>
      <c r="T473" s="96"/>
      <c r="U473" s="97"/>
      <c r="V473" s="88"/>
      <c r="W473" s="46">
        <f>IF(NOTA[[#This Row],[HARGA/ CTN]]="",NOTA[[#This Row],[JUMLAH_H]],NOTA[[#This Row],[HARGA/ CTN]]*NOTA[[#This Row],[C]])</f>
        <v>7897500</v>
      </c>
      <c r="X473" s="46">
        <f>IF(NOTA[[#This Row],[JUMLAH]]="","",NOTA[[#This Row],[JUMLAH]]*NOTA[[#This Row],[DISC 1]])</f>
        <v>0</v>
      </c>
      <c r="Y473" s="46">
        <f>IF(NOTA[[#This Row],[JUMLAH]]="","",(NOTA[[#This Row],[JUMLAH]]-NOTA[[#This Row],[DISC 1-]])*NOTA[[#This Row],[DISC 2]])</f>
        <v>0</v>
      </c>
      <c r="Z473" s="46">
        <f>IF(NOTA[[#This Row],[JUMLAH]]="","",NOTA[[#This Row],[DISC 1-]]+NOTA[[#This Row],[DISC 2-]])</f>
        <v>0</v>
      </c>
      <c r="AA473" s="46">
        <f>IF(NOTA[[#This Row],[JUMLAH]]="","",NOTA[[#This Row],[JUMLAH]]-NOTA[[#This Row],[DISC]])</f>
        <v>7897500</v>
      </c>
      <c r="AB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473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473" s="46">
        <f>IF(OR(NOTA[[#This Row],[QTY]]="",NOTA[[#This Row],[HARGA SATUAN]]="",),"",NOTA[[#This Row],[QTY]]*NOTA[[#This Row],[HARGA SATUAN]])</f>
        <v>7897500</v>
      </c>
      <c r="AF473" s="44">
        <f ca="1">IF(NOTA[ID_H]="","",INDEX(NOTA[TANGGAL],MATCH(,INDIRECT(ADDRESS(ROW(NOTA[TANGGAL]),COLUMN(NOTA[TANGGAL]))&amp;":"&amp;ADDRESS(ROW(),COLUMN(NOTA[TANGGAL]))),-1)))</f>
        <v>44862</v>
      </c>
      <c r="AG473" s="40" t="str">
        <f ca="1">IF(NOTA[[#This Row],[NAMA BARANG]]="","",INDEX(NOTA[SUPPLIER],MATCH(,INDIRECT(ADDRESS(ROW(NOTA[ID]),COLUMN(NOTA[ID]))&amp;":"&amp;ADDRESS(ROW(),COLUMN(NOTA[ID]))),-1)))</f>
        <v>DUTA BUANA</v>
      </c>
      <c r="AH473" s="16" t="str">
        <f ca="1">IF(NOTA[[#This Row],[ID]]="","",COUNTIF(NOTA[ID_H],NOTA[[#This Row],[ID_H]]))</f>
        <v/>
      </c>
      <c r="AI473" s="16">
        <f ca="1"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1" t="str">
        <f>IF(NOTA[[#This Row],[ID_P]]="","",MATCH(NOTA[[#This Row],[ID_P]],[1]!B_MSK[N_ID],0))</f>
        <v/>
      </c>
      <c r="D474" s="41" t="str">
        <f ca="1">IF(NOTA[[#This Row],[NAMA BARANG]]="","",INDEX(NOTA[ID],MATCH(,INDIRECT(ADDRESS(ROW(NOTA[ID]),COLUMN(NOTA[ID]))&amp;":"&amp;ADDRESS(ROW(),COLUMN(NOTA[ID]))),-1)))</f>
        <v/>
      </c>
      <c r="E474" s="99"/>
      <c r="H474" s="24"/>
      <c r="I474" s="89"/>
      <c r="J474" s="91"/>
      <c r="K474" s="89"/>
      <c r="M474" s="92"/>
      <c r="N474" s="89"/>
      <c r="P474" s="93"/>
      <c r="Q474" s="163"/>
      <c r="R474" s="98"/>
      <c r="S474" s="95"/>
      <c r="T474" s="96"/>
      <c r="U474" s="97"/>
      <c r="V474" s="88"/>
      <c r="W474" s="46" t="str">
        <f>IF(NOTA[[#This Row],[HARGA/ CTN]]="",NOTA[[#This Row],[JUMLAH_H]],NOTA[[#This Row],[HARGA/ CTN]]*NOTA[[#This Row],[C]])</f>
        <v/>
      </c>
      <c r="X474" s="46" t="str">
        <f>IF(NOTA[[#This Row],[JUMLAH]]="","",NOTA[[#This Row],[JUMLAH]]*NOTA[[#This Row],[DISC 1]])</f>
        <v/>
      </c>
      <c r="Y474" s="46" t="str">
        <f>IF(NOTA[[#This Row],[JUMLAH]]="","",(NOTA[[#This Row],[JUMLAH]]-NOTA[[#This Row],[DISC 1-]])*NOTA[[#This Row],[DISC 2]])</f>
        <v/>
      </c>
      <c r="Z474" s="46" t="str">
        <f>IF(NOTA[[#This Row],[JUMLAH]]="","",NOTA[[#This Row],[DISC 1-]]+NOTA[[#This Row],[DISC 2-]])</f>
        <v/>
      </c>
      <c r="AA474" s="46" t="str">
        <f>IF(NOTA[[#This Row],[JUMLAH]]="","",NOTA[[#This Row],[JUMLAH]]-NOTA[[#This Row],[DISC]])</f>
        <v/>
      </c>
      <c r="AB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6" t="str">
        <f>IF(OR(NOTA[[#This Row],[QTY]]="",NOTA[[#This Row],[HARGA SATUAN]]="",),"",NOTA[[#This Row],[QTY]]*NOTA[[#This Row],[HARGA SATUAN]])</f>
        <v/>
      </c>
      <c r="AF474" s="44" t="str">
        <f ca="1">IF(NOTA[ID_H]="","",INDEX(NOTA[TANGGAL],MATCH(,INDIRECT(ADDRESS(ROW(NOTA[TANGGAL]),COLUMN(NOTA[TANGGAL]))&amp;":"&amp;ADDRESS(ROW(),COLUMN(NOTA[TANGGAL]))),-1)))</f>
        <v/>
      </c>
      <c r="AG474" s="4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4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475" s="41" t="e">
        <f ca="1">IF(NOTA[[#This Row],[ID_P]]="","",MATCH(NOTA[[#This Row],[ID_P]],[1]!B_MSK[N_ID],0))</f>
        <v>#REF!</v>
      </c>
      <c r="D475" s="41">
        <f ca="1">IF(NOTA[[#This Row],[NAMA BARANG]]="","",INDEX(NOTA[ID],MATCH(,INDIRECT(ADDRESS(ROW(NOTA[ID]),COLUMN(NOTA[ID]))&amp;":"&amp;ADDRESS(ROW(),COLUMN(NOTA[ID]))),-1)))</f>
        <v>106</v>
      </c>
      <c r="E475" s="99"/>
      <c r="F475" s="16" t="s">
        <v>250</v>
      </c>
      <c r="G475" s="16" t="s">
        <v>87</v>
      </c>
      <c r="H475" s="24" t="s">
        <v>637</v>
      </c>
      <c r="I475" s="89"/>
      <c r="J475" s="91">
        <v>44859</v>
      </c>
      <c r="K475" s="89"/>
      <c r="L475" s="16" t="s">
        <v>638</v>
      </c>
      <c r="M475" s="92">
        <v>5</v>
      </c>
      <c r="N475" s="89">
        <v>480</v>
      </c>
      <c r="O475" s="16" t="s">
        <v>90</v>
      </c>
      <c r="P475" s="93">
        <v>30500</v>
      </c>
      <c r="Q475" s="163"/>
      <c r="R475" s="98" t="s">
        <v>622</v>
      </c>
      <c r="S475" s="159"/>
      <c r="T475" s="96"/>
      <c r="U475" s="97"/>
      <c r="V475" s="88"/>
      <c r="W475" s="46">
        <f>IF(NOTA[[#This Row],[HARGA/ CTN]]="",NOTA[[#This Row],[JUMLAH_H]],NOTA[[#This Row],[HARGA/ CTN]]*NOTA[[#This Row],[C]])</f>
        <v>14640000</v>
      </c>
      <c r="X475" s="46">
        <f>IF(NOTA[[#This Row],[JUMLAH]]="","",NOTA[[#This Row],[JUMLAH]]*NOTA[[#This Row],[DISC 1]])</f>
        <v>0</v>
      </c>
      <c r="Y475" s="46">
        <f>IF(NOTA[[#This Row],[JUMLAH]]="","",(NOTA[[#This Row],[JUMLAH]]-NOTA[[#This Row],[DISC 1-]])*NOTA[[#This Row],[DISC 2]])</f>
        <v>0</v>
      </c>
      <c r="Z475" s="46">
        <f>IF(NOTA[[#This Row],[JUMLAH]]="","",NOTA[[#This Row],[DISC 1-]]+NOTA[[#This Row],[DISC 2-]])</f>
        <v>0</v>
      </c>
      <c r="AA475" s="46">
        <f>IF(NOTA[[#This Row],[JUMLAH]]="","",NOTA[[#This Row],[JUMLAH]]-NOTA[[#This Row],[DISC]])</f>
        <v>14640000</v>
      </c>
      <c r="AB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475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475" s="46">
        <f>IF(OR(NOTA[[#This Row],[QTY]]="",NOTA[[#This Row],[HARGA SATUAN]]="",),"",NOTA[[#This Row],[QTY]]*NOTA[[#This Row],[HARGA SATUAN]])</f>
        <v>14640000</v>
      </c>
      <c r="AF475" s="44">
        <f ca="1">IF(NOTA[ID_H]="","",INDEX(NOTA[TANGGAL],MATCH(,INDIRECT(ADDRESS(ROW(NOTA[TANGGAL]),COLUMN(NOTA[TANGGAL]))&amp;":"&amp;ADDRESS(ROW(),COLUMN(NOTA[TANGGAL]))),-1)))</f>
        <v>44862</v>
      </c>
      <c r="AG475" s="40" t="str">
        <f ca="1">IF(NOTA[[#This Row],[NAMA BARANG]]="","",INDEX(NOTA[SUPPLIER],MATCH(,INDIRECT(ADDRESS(ROW(NOTA[ID]),COLUMN(NOTA[ID]))&amp;":"&amp;ADDRESS(ROW(),COLUMN(NOTA[ID]))),-1)))</f>
        <v>DUTA BUANA</v>
      </c>
      <c r="AH475" s="16">
        <f ca="1">IF(NOTA[[#This Row],[ID]]="","",COUNTIF(NOTA[ID_H],NOTA[[#This Row],[ID_H]]))</f>
        <v>1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1" t="str">
        <f>IF(NOTA[[#This Row],[ID_P]]="","",MATCH(NOTA[[#This Row],[ID_P]],[1]!B_MSK[N_ID],0))</f>
        <v/>
      </c>
      <c r="D476" s="41" t="str">
        <f ca="1">IF(NOTA[[#This Row],[NAMA BARANG]]="","",INDEX(NOTA[ID],MATCH(,INDIRECT(ADDRESS(ROW(NOTA[ID]),COLUMN(NOTA[ID]))&amp;":"&amp;ADDRESS(ROW(),COLUMN(NOTA[ID]))),-1)))</f>
        <v/>
      </c>
      <c r="E476" s="99"/>
      <c r="H476" s="24"/>
      <c r="I476" s="89"/>
      <c r="J476" s="91"/>
      <c r="K476" s="89"/>
      <c r="M476" s="92"/>
      <c r="N476" s="89"/>
      <c r="P476" s="93"/>
      <c r="Q476" s="163"/>
      <c r="R476" s="98"/>
      <c r="S476" s="95"/>
      <c r="T476" s="96"/>
      <c r="U476" s="97"/>
      <c r="V476" s="88"/>
      <c r="W476" s="46" t="str">
        <f>IF(NOTA[[#This Row],[HARGA/ CTN]]="",NOTA[[#This Row],[JUMLAH_H]],NOTA[[#This Row],[HARGA/ CTN]]*NOTA[[#This Row],[C]])</f>
        <v/>
      </c>
      <c r="X476" s="46" t="str">
        <f>IF(NOTA[[#This Row],[JUMLAH]]="","",NOTA[[#This Row],[JUMLAH]]*NOTA[[#This Row],[DISC 1]])</f>
        <v/>
      </c>
      <c r="Y476" s="46" t="str">
        <f>IF(NOTA[[#This Row],[JUMLAH]]="","",(NOTA[[#This Row],[JUMLAH]]-NOTA[[#This Row],[DISC 1-]])*NOTA[[#This Row],[DISC 2]])</f>
        <v/>
      </c>
      <c r="Z476" s="46" t="str">
        <f>IF(NOTA[[#This Row],[JUMLAH]]="","",NOTA[[#This Row],[DISC 1-]]+NOTA[[#This Row],[DISC 2-]])</f>
        <v/>
      </c>
      <c r="AA476" s="46" t="str">
        <f>IF(NOTA[[#This Row],[JUMLAH]]="","",NOTA[[#This Row],[JUMLAH]]-NOTA[[#This Row],[DISC]])</f>
        <v/>
      </c>
      <c r="AB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6" t="str">
        <f>IF(OR(NOTA[[#This Row],[QTY]]="",NOTA[[#This Row],[HARGA SATUAN]]="",),"",NOTA[[#This Row],[QTY]]*NOTA[[#This Row],[HARGA SATUAN]])</f>
        <v/>
      </c>
      <c r="AF476" s="44" t="str">
        <f ca="1">IF(NOTA[ID_H]="","",INDEX(NOTA[TANGGAL],MATCH(,INDIRECT(ADDRESS(ROW(NOTA[TANGGAL]),COLUMN(NOTA[TANGGAL]))&amp;":"&amp;ADDRESS(ROW(),COLUMN(NOTA[TANGGAL]))),-1)))</f>
        <v/>
      </c>
      <c r="AG476" s="40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 t="str">
        <f ca="1">IF(NOTA[[#This Row],[TGL.NOTA]]="",IF(NOTA[[#This Row],[SUPPLIER_H]]="","",AI475),MONTH(NOTA[[#This Row],[TGL.NOTA]]))</f>
        <v/>
      </c>
      <c r="AJ476" s="16"/>
    </row>
    <row r="477" spans="1:36" ht="20.100000000000001" customHeight="1" x14ac:dyDescent="0.25">
      <c r="A477" s="4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7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477" s="41" t="e">
        <f ca="1">IF(NOTA[[#This Row],[ID_P]]="","",MATCH(NOTA[[#This Row],[ID_P]],[1]!B_MSK[N_ID],0))</f>
        <v>#REF!</v>
      </c>
      <c r="D477" s="41">
        <f ca="1">IF(NOTA[[#This Row],[NAMA BARANG]]="","",INDEX(NOTA[ID],MATCH(,INDIRECT(ADDRESS(ROW(NOTA[ID]),COLUMN(NOTA[ID]))&amp;":"&amp;ADDRESS(ROW(),COLUMN(NOTA[ID]))),-1)))</f>
        <v>107</v>
      </c>
      <c r="E477" s="99"/>
      <c r="F477" s="16" t="s">
        <v>367</v>
      </c>
      <c r="G477" s="16" t="s">
        <v>87</v>
      </c>
      <c r="H477" s="24" t="s">
        <v>639</v>
      </c>
      <c r="J477" s="91">
        <v>44859</v>
      </c>
      <c r="K477" s="89"/>
      <c r="L477" s="16" t="s">
        <v>640</v>
      </c>
      <c r="M477" s="92">
        <v>3</v>
      </c>
      <c r="N477" s="89">
        <v>600</v>
      </c>
      <c r="O477" s="16" t="s">
        <v>90</v>
      </c>
      <c r="P477" s="93">
        <v>8750</v>
      </c>
      <c r="Q477" s="163"/>
      <c r="R477" s="98" t="s">
        <v>629</v>
      </c>
      <c r="S477" s="95"/>
      <c r="T477" s="96"/>
      <c r="U477" s="97"/>
      <c r="V477" s="88"/>
      <c r="W477" s="46">
        <f>IF(NOTA[[#This Row],[HARGA/ CTN]]="",NOTA[[#This Row],[JUMLAH_H]],NOTA[[#This Row],[HARGA/ CTN]]*NOTA[[#This Row],[C]])</f>
        <v>5250000</v>
      </c>
      <c r="X477" s="46">
        <f>IF(NOTA[[#This Row],[JUMLAH]]="","",NOTA[[#This Row],[JUMLAH]]*NOTA[[#This Row],[DISC 1]])</f>
        <v>0</v>
      </c>
      <c r="Y477" s="46">
        <f>IF(NOTA[[#This Row],[JUMLAH]]="","",(NOTA[[#This Row],[JUMLAH]]-NOTA[[#This Row],[DISC 1-]])*NOTA[[#This Row],[DISC 2]])</f>
        <v>0</v>
      </c>
      <c r="Z477" s="46">
        <f>IF(NOTA[[#This Row],[JUMLAH]]="","",NOTA[[#This Row],[DISC 1-]]+NOTA[[#This Row],[DISC 2-]])</f>
        <v>0</v>
      </c>
      <c r="AA477" s="46">
        <f>IF(NOTA[[#This Row],[JUMLAH]]="","",NOTA[[#This Row],[JUMLAH]]-NOTA[[#This Row],[DISC]])</f>
        <v>5250000</v>
      </c>
      <c r="AB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77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77" s="46">
        <f>IF(OR(NOTA[[#This Row],[QTY]]="",NOTA[[#This Row],[HARGA SATUAN]]="",),"",NOTA[[#This Row],[QTY]]*NOTA[[#This Row],[HARGA SATUAN]])</f>
        <v>5250000</v>
      </c>
      <c r="AF477" s="44">
        <f ca="1">IF(NOTA[ID_H]="","",INDEX(NOTA[TANGGAL],MATCH(,INDIRECT(ADDRESS(ROW(NOTA[TANGGAL]),COLUMN(NOTA[TANGGAL]))&amp;":"&amp;ADDRESS(ROW(),COLUMN(NOTA[TANGGAL]))),-1)))</f>
        <v>44862</v>
      </c>
      <c r="AG477" s="40" t="str">
        <f ca="1">IF(NOTA[[#This Row],[NAMA BARANG]]="","",INDEX(NOTA[SUPPLIER],MATCH(,INDIRECT(ADDRESS(ROW(NOTA[ID]),COLUMN(NOTA[ID]))&amp;":"&amp;ADDRESS(ROW(),COLUMN(NOTA[ID]))),-1)))</f>
        <v>ETJ</v>
      </c>
      <c r="AH477" s="16">
        <f ca="1">IF(NOTA[[#This Row],[ID]]="","",COUNTIF(NOTA[ID_H],NOTA[[#This Row],[ID_H]]))</f>
        <v>1</v>
      </c>
      <c r="AI477" s="16">
        <f>IF(NOTA[[#This Row],[TGL.NOTA]]="",IF(NOTA[[#This Row],[SUPPLIER_H]]="","",AI476),MONTH(NOTA[[#This Row],[TGL.NOTA]]))</f>
        <v>10</v>
      </c>
      <c r="AJ477" s="16"/>
    </row>
    <row r="478" spans="1:36" ht="20.100000000000001" customHeight="1" x14ac:dyDescent="0.25">
      <c r="A47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41" t="str">
        <f>IF(NOTA[[#This Row],[ID_P]]="","",MATCH(NOTA[[#This Row],[ID_P]],[1]!B_MSK[N_ID],0))</f>
        <v/>
      </c>
      <c r="D478" s="41" t="str">
        <f ca="1">IF(NOTA[[#This Row],[NAMA BARANG]]="","",INDEX(NOTA[ID],MATCH(,INDIRECT(ADDRESS(ROW(NOTA[ID]),COLUMN(NOTA[ID]))&amp;":"&amp;ADDRESS(ROW(),COLUMN(NOTA[ID]))),-1)))</f>
        <v/>
      </c>
      <c r="E478" s="99"/>
      <c r="F478" s="89"/>
      <c r="G478" s="89"/>
      <c r="H478" s="90"/>
      <c r="J478" s="91"/>
      <c r="K478" s="89"/>
      <c r="M478" s="92"/>
      <c r="N478" s="89"/>
      <c r="O478" s="89"/>
      <c r="P478" s="93"/>
      <c r="Q478" s="163"/>
      <c r="R478" s="98"/>
      <c r="S478" s="95"/>
      <c r="T478" s="96"/>
      <c r="U478" s="97"/>
      <c r="V478" s="88"/>
      <c r="W478" s="46" t="str">
        <f>IF(NOTA[[#This Row],[HARGA/ CTN]]="",NOTA[[#This Row],[JUMLAH_H]],NOTA[[#This Row],[HARGA/ CTN]]*NOTA[[#This Row],[C]])</f>
        <v/>
      </c>
      <c r="X478" s="46" t="str">
        <f>IF(NOTA[[#This Row],[JUMLAH]]="","",NOTA[[#This Row],[JUMLAH]]*NOTA[[#This Row],[DISC 1]])</f>
        <v/>
      </c>
      <c r="Y478" s="46" t="str">
        <f>IF(NOTA[[#This Row],[JUMLAH]]="","",(NOTA[[#This Row],[JUMLAH]]-NOTA[[#This Row],[DISC 1-]])*NOTA[[#This Row],[DISC 2]])</f>
        <v/>
      </c>
      <c r="Z478" s="46" t="str">
        <f>IF(NOTA[[#This Row],[JUMLAH]]="","",NOTA[[#This Row],[DISC 1-]]+NOTA[[#This Row],[DISC 2-]])</f>
        <v/>
      </c>
      <c r="AA478" s="46" t="str">
        <f>IF(NOTA[[#This Row],[JUMLAH]]="","",NOTA[[#This Row],[JUMLAH]]-NOTA[[#This Row],[DISC]])</f>
        <v/>
      </c>
      <c r="AB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46" t="str">
        <f>IF(OR(NOTA[[#This Row],[QTY]]="",NOTA[[#This Row],[HARGA SATUAN]]="",),"",NOTA[[#This Row],[QTY]]*NOTA[[#This Row],[HARGA SATUAN]])</f>
        <v/>
      </c>
      <c r="AF478" s="44" t="str">
        <f ca="1">IF(NOTA[ID_H]="","",INDEX(NOTA[TANGGAL],MATCH(,INDIRECT(ADDRESS(ROW(NOTA[TANGGAL]),COLUMN(NOTA[TANGGAL]))&amp;":"&amp;ADDRESS(ROW(),COLUMN(NOTA[TANGGAL]))),-1)))</f>
        <v/>
      </c>
      <c r="AG478" s="40" t="str">
        <f ca="1">IF(NOTA[[#This Row],[NAMA BARANG]]="","",INDEX(NOTA[SUPPLIER],MATCH(,INDIRECT(ADDRESS(ROW(NOTA[ID]),COLUMN(NOTA[ID]))&amp;":"&amp;ADDRESS(ROW(),COLUMN(NOTA[ID]))),-1)))</f>
        <v/>
      </c>
      <c r="AH478" s="16" t="str">
        <f ca="1">IF(NOTA[[#This Row],[ID]]="","",COUNTIF(NOTA[ID_H],NOTA[[#This Row],[ID_H]]))</f>
        <v/>
      </c>
      <c r="AI478" s="16" t="str">
        <f ca="1">IF(NOTA[[#This Row],[TGL.NOTA]]="",IF(NOTA[[#This Row],[SUPPLIER_H]]="","",AI477),MONTH(NOTA[[#This Row],[TGL.NOTA]]))</f>
        <v/>
      </c>
      <c r="AJ478" s="16"/>
    </row>
    <row r="479" spans="1:36" ht="20.100000000000001" customHeight="1" x14ac:dyDescent="0.25">
      <c r="A47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479" s="41" t="e">
        <f ca="1">IF(NOTA[[#This Row],[ID_P]]="","",MATCH(NOTA[[#This Row],[ID_P]],[1]!B_MSK[N_ID],0))</f>
        <v>#REF!</v>
      </c>
      <c r="D479" s="41">
        <f ca="1">IF(NOTA[[#This Row],[NAMA BARANG]]="","",INDEX(NOTA[ID],MATCH(,INDIRECT(ADDRESS(ROW(NOTA[ID]),COLUMN(NOTA[ID]))&amp;":"&amp;ADDRESS(ROW(),COLUMN(NOTA[ID]))),-1)))</f>
        <v>108</v>
      </c>
      <c r="E479" s="99"/>
      <c r="F479" s="16" t="s">
        <v>555</v>
      </c>
      <c r="G479" s="16" t="s">
        <v>87</v>
      </c>
      <c r="H479" s="24" t="s">
        <v>641</v>
      </c>
      <c r="J479" s="91">
        <v>44859</v>
      </c>
      <c r="K479" s="89"/>
      <c r="L479" s="16" t="s">
        <v>642</v>
      </c>
      <c r="M479" s="92">
        <v>20</v>
      </c>
      <c r="N479" s="89">
        <f>144*20</f>
        <v>2880</v>
      </c>
      <c r="O479" s="16" t="s">
        <v>88</v>
      </c>
      <c r="P479" s="93">
        <v>4750</v>
      </c>
      <c r="Q479" s="163">
        <v>684000</v>
      </c>
      <c r="R479" s="98" t="s">
        <v>558</v>
      </c>
      <c r="S479" s="95">
        <v>0.03</v>
      </c>
      <c r="T479" s="96"/>
      <c r="U479" s="97"/>
      <c r="V479" s="88"/>
      <c r="W479" s="46">
        <f>IF(NOTA[[#This Row],[HARGA/ CTN]]="",NOTA[[#This Row],[JUMLAH_H]],NOTA[[#This Row],[HARGA/ CTN]]*NOTA[[#This Row],[C]])</f>
        <v>13680000</v>
      </c>
      <c r="X479" s="46">
        <f>IF(NOTA[[#This Row],[JUMLAH]]="","",NOTA[[#This Row],[JUMLAH]]*NOTA[[#This Row],[DISC 1]])</f>
        <v>410400</v>
      </c>
      <c r="Y479" s="46">
        <f>IF(NOTA[[#This Row],[JUMLAH]]="","",(NOTA[[#This Row],[JUMLAH]]-NOTA[[#This Row],[DISC 1-]])*NOTA[[#This Row],[DISC 2]])</f>
        <v>0</v>
      </c>
      <c r="Z479" s="46">
        <f>IF(NOTA[[#This Row],[JUMLAH]]="","",NOTA[[#This Row],[DISC 1-]]+NOTA[[#This Row],[DISC 2-]])</f>
        <v>410400</v>
      </c>
      <c r="AA479" s="46">
        <f>IF(NOTA[[#This Row],[JUMLAH]]="","",NOTA[[#This Row],[JUMLAH]]-NOTA[[#This Row],[DISC]])</f>
        <v>13269600</v>
      </c>
      <c r="AB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79" s="46">
        <f>IF(OR(NOTA[[#This Row],[QTY]]="",NOTA[[#This Row],[HARGA SATUAN]]="",),"",NOTA[[#This Row],[QTY]]*NOTA[[#This Row],[HARGA SATUAN]])</f>
        <v>13680000</v>
      </c>
      <c r="AF479" s="44">
        <f ca="1">IF(NOTA[ID_H]="","",INDEX(NOTA[TANGGAL],MATCH(,INDIRECT(ADDRESS(ROW(NOTA[TANGGAL]),COLUMN(NOTA[TANGGAL]))&amp;":"&amp;ADDRESS(ROW(),COLUMN(NOTA[TANGGAL]))),-1)))</f>
        <v>44862</v>
      </c>
      <c r="AG479" s="40" t="str">
        <f ca="1">IF(NOTA[[#This Row],[NAMA BARANG]]="","",INDEX(NOTA[SUPPLIER],MATCH(,INDIRECT(ADDRESS(ROW(NOTA[ID]),COLUMN(NOTA[ID]))&amp;":"&amp;ADDRESS(ROW(),COLUMN(NOTA[ID]))),-1)))</f>
        <v>BINTANG JAYA</v>
      </c>
      <c r="AH479" s="16">
        <f ca="1">IF(NOTA[[#This Row],[ID]]="","",COUNTIF(NOTA[ID_H],NOTA[[#This Row],[ID_H]]))</f>
        <v>2</v>
      </c>
      <c r="AI479" s="16">
        <f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1" t="str">
        <f>IF(NOTA[[#This Row],[ID_P]]="","",MATCH(NOTA[[#This Row],[ID_P]],[1]!B_MSK[N_ID],0))</f>
        <v/>
      </c>
      <c r="D480" s="41">
        <f ca="1">IF(NOTA[[#This Row],[NAMA BARANG]]="","",INDEX(NOTA[ID],MATCH(,INDIRECT(ADDRESS(ROW(NOTA[ID]),COLUMN(NOTA[ID]))&amp;":"&amp;ADDRESS(ROW(),COLUMN(NOTA[ID]))),-1)))</f>
        <v>108</v>
      </c>
      <c r="E480" s="99"/>
      <c r="F480" s="89"/>
      <c r="G480" s="89"/>
      <c r="H480" s="90"/>
      <c r="J480" s="91"/>
      <c r="K480" s="89"/>
      <c r="L480" s="16" t="s">
        <v>642</v>
      </c>
      <c r="M480" s="92">
        <v>3</v>
      </c>
      <c r="N480" s="89">
        <f>144*3</f>
        <v>432</v>
      </c>
      <c r="O480" s="16" t="s">
        <v>88</v>
      </c>
      <c r="P480" s="93">
        <v>4750</v>
      </c>
      <c r="Q480" s="163">
        <v>684000</v>
      </c>
      <c r="R480" s="98" t="s">
        <v>558</v>
      </c>
      <c r="S480" s="95"/>
      <c r="T480" s="96"/>
      <c r="U480" s="97">
        <v>2052000</v>
      </c>
      <c r="V480" s="88" t="s">
        <v>559</v>
      </c>
      <c r="W480" s="46">
        <f>IF(NOTA[[#This Row],[HARGA/ CTN]]="",NOTA[[#This Row],[JUMLAH_H]],NOTA[[#This Row],[HARGA/ CTN]]*NOTA[[#This Row],[C]])</f>
        <v>2052000</v>
      </c>
      <c r="X480" s="46">
        <f>IF(NOTA[[#This Row],[JUMLAH]]="","",NOTA[[#This Row],[JUMLAH]]*NOTA[[#This Row],[DISC 1]])</f>
        <v>0</v>
      </c>
      <c r="Y480" s="46">
        <f>IF(NOTA[[#This Row],[JUMLAH]]="","",(NOTA[[#This Row],[JUMLAH]]-NOTA[[#This Row],[DISC 1-]])*NOTA[[#This Row],[DISC 2]])</f>
        <v>0</v>
      </c>
      <c r="Z480" s="46">
        <f>IF(NOTA[[#This Row],[JUMLAH]]="","",NOTA[[#This Row],[DISC 1-]]+NOTA[[#This Row],[DISC 2-]])</f>
        <v>0</v>
      </c>
      <c r="AA480" s="46">
        <f>IF(NOTA[[#This Row],[JUMLAH]]="","",NOTA[[#This Row],[JUMLAH]]-NOTA[[#This Row],[DISC]])</f>
        <v>2052000</v>
      </c>
      <c r="AB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8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8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80" s="46">
        <f>IF(OR(NOTA[[#This Row],[QTY]]="",NOTA[[#This Row],[HARGA SATUAN]]="",),"",NOTA[[#This Row],[QTY]]*NOTA[[#This Row],[HARGA SATUAN]])</f>
        <v>2052000</v>
      </c>
      <c r="AF480" s="44">
        <f ca="1">IF(NOTA[ID_H]="","",INDEX(NOTA[TANGGAL],MATCH(,INDIRECT(ADDRESS(ROW(NOTA[TANGGAL]),COLUMN(NOTA[TANGGAL]))&amp;":"&amp;ADDRESS(ROW(),COLUMN(NOTA[TANGGAL]))),-1)))</f>
        <v>44862</v>
      </c>
      <c r="AG480" s="40" t="str">
        <f ca="1">IF(NOTA[[#This Row],[NAMA BARANG]]="","",INDEX(NOTA[SUPPLIER],MATCH(,INDIRECT(ADDRESS(ROW(NOTA[ID]),COLUMN(NOTA[ID]))&amp;":"&amp;ADDRESS(ROW(),COLUMN(NOTA[ID]))),-1)))</f>
        <v>BINTANG JAYA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1" t="str">
        <f>IF(NOTA[[#This Row],[ID_P]]="","",MATCH(NOTA[[#This Row],[ID_P]],[1]!B_MSK[N_ID],0))</f>
        <v/>
      </c>
      <c r="D481" s="41" t="str">
        <f ca="1">IF(NOTA[[#This Row],[NAMA BARANG]]="","",INDEX(NOTA[ID],MATCH(,INDIRECT(ADDRESS(ROW(NOTA[ID]),COLUMN(NOTA[ID]))&amp;":"&amp;ADDRESS(ROW(),COLUMN(NOTA[ID]))),-1)))</f>
        <v/>
      </c>
      <c r="E481" s="99"/>
      <c r="F481" s="89"/>
      <c r="G481" s="89"/>
      <c r="H481" s="90"/>
      <c r="J481" s="91"/>
      <c r="K481" s="89"/>
      <c r="M481" s="92"/>
      <c r="N481" s="89"/>
      <c r="P481" s="93"/>
      <c r="Q481" s="163"/>
      <c r="R481" s="98"/>
      <c r="S481" s="95"/>
      <c r="T481" s="96"/>
      <c r="U481" s="97"/>
      <c r="V481" s="88"/>
      <c r="W481" s="46" t="str">
        <f>IF(NOTA[[#This Row],[HARGA/ CTN]]="",NOTA[[#This Row],[JUMLAH_H]],NOTA[[#This Row],[HARGA/ CTN]]*NOTA[[#This Row],[C]])</f>
        <v/>
      </c>
      <c r="X481" s="46" t="str">
        <f>IF(NOTA[[#This Row],[JUMLAH]]="","",NOTA[[#This Row],[JUMLAH]]*NOTA[[#This Row],[DISC 1]])</f>
        <v/>
      </c>
      <c r="Y481" s="46" t="str">
        <f>IF(NOTA[[#This Row],[JUMLAH]]="","",(NOTA[[#This Row],[JUMLAH]]-NOTA[[#This Row],[DISC 1-]])*NOTA[[#This Row],[DISC 2]])</f>
        <v/>
      </c>
      <c r="Z481" s="46" t="str">
        <f>IF(NOTA[[#This Row],[JUMLAH]]="","",NOTA[[#This Row],[DISC 1-]]+NOTA[[#This Row],[DISC 2-]])</f>
        <v/>
      </c>
      <c r="AA481" s="46" t="str">
        <f>IF(NOTA[[#This Row],[JUMLAH]]="","",NOTA[[#This Row],[JUMLAH]]-NOTA[[#This Row],[DISC]])</f>
        <v/>
      </c>
      <c r="AB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46" t="str">
        <f>IF(OR(NOTA[[#This Row],[QTY]]="",NOTA[[#This Row],[HARGA SATUAN]]="",),"",NOTA[[#This Row],[QTY]]*NOTA[[#This Row],[HARGA SATUAN]])</f>
        <v/>
      </c>
      <c r="AF481" s="44" t="str">
        <f ca="1">IF(NOTA[ID_H]="","",INDEX(NOTA[TANGGAL],MATCH(,INDIRECT(ADDRESS(ROW(NOTA[TANGGAL]),COLUMN(NOTA[TANGGAL]))&amp;":"&amp;ADDRESS(ROW(),COLUMN(NOTA[TANGGAL]))),-1)))</f>
        <v/>
      </c>
      <c r="AG481" s="40" t="str">
        <f ca="1">IF(NOTA[[#This Row],[NAMA BARANG]]="","",INDEX(NOTA[SUPPLIER],MATCH(,INDIRECT(ADDRESS(ROW(NOTA[ID]),COLUMN(NOTA[ID]))&amp;":"&amp;ADDRESS(ROW(),COLUMN(NOTA[ID]))),-1)))</f>
        <v/>
      </c>
      <c r="AH481" s="16" t="str">
        <f ca="1">IF(NOTA[[#This Row],[ID]]="","",COUNTIF(NOTA[ID_H],NOTA[[#This Row],[ID_H]]))</f>
        <v/>
      </c>
      <c r="AI481" s="16" t="str">
        <f ca="1">IF(NOTA[[#This Row],[TGL.NOTA]]="",IF(NOTA[[#This Row],[SUPPLIER_H]]="","",AI480),MONTH(NOTA[[#This Row],[TGL.NOTA]]))</f>
        <v/>
      </c>
      <c r="AJ481" s="16"/>
    </row>
    <row r="482" spans="1:36" ht="20.100000000000001" customHeight="1" x14ac:dyDescent="0.25">
      <c r="A482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2" s="41" t="e">
        <f ca="1">IF(NOTA[[#This Row],[ID_P]]="","",MATCH(NOTA[[#This Row],[ID_P]],[1]!B_MSK[N_ID],0))</f>
        <v>#REF!</v>
      </c>
      <c r="D482" s="41">
        <f ca="1">IF(NOTA[[#This Row],[NAMA BARANG]]="","",INDEX(NOTA[ID],MATCH(,INDIRECT(ADDRESS(ROW(NOTA[ID]),COLUMN(NOTA[ID]))&amp;":"&amp;ADDRESS(ROW(),COLUMN(NOTA[ID]))),-1)))</f>
        <v>109</v>
      </c>
      <c r="E482" s="99"/>
      <c r="F482" s="16" t="s">
        <v>555</v>
      </c>
      <c r="G482" s="16" t="s">
        <v>87</v>
      </c>
      <c r="H482" s="90"/>
      <c r="I482" s="16">
        <v>234</v>
      </c>
      <c r="J482" s="91">
        <v>44860</v>
      </c>
      <c r="K482" s="89"/>
      <c r="L482" s="16" t="s">
        <v>557</v>
      </c>
      <c r="M482" s="92"/>
      <c r="N482" s="89">
        <v>12</v>
      </c>
      <c r="O482" s="16" t="s">
        <v>88</v>
      </c>
      <c r="P482" s="93"/>
      <c r="Q482" s="163"/>
      <c r="R482" s="98"/>
      <c r="S482" s="95"/>
      <c r="T482" s="96"/>
      <c r="U482" s="97"/>
      <c r="V482" s="88" t="s">
        <v>643</v>
      </c>
      <c r="W482" s="46" t="str">
        <f>IF(NOTA[[#This Row],[HARGA/ CTN]]="",NOTA[[#This Row],[JUMLAH_H]],NOTA[[#This Row],[HARGA/ CTN]]*NOTA[[#This Row],[C]])</f>
        <v/>
      </c>
      <c r="X482" s="46" t="str">
        <f>IF(NOTA[[#This Row],[JUMLAH]]="","",NOTA[[#This Row],[JUMLAH]]*NOTA[[#This Row],[DISC 1]])</f>
        <v/>
      </c>
      <c r="Y482" s="46" t="str">
        <f>IF(NOTA[[#This Row],[JUMLAH]]="","",(NOTA[[#This Row],[JUMLAH]]-NOTA[[#This Row],[DISC 1-]])*NOTA[[#This Row],[DISC 2]])</f>
        <v/>
      </c>
      <c r="Z482" s="46" t="str">
        <f>IF(NOTA[[#This Row],[JUMLAH]]="","",NOTA[[#This Row],[DISC 1-]]+NOTA[[#This Row],[DISC 2-]])</f>
        <v/>
      </c>
      <c r="AA482" s="46" t="str">
        <f>IF(NOTA[[#This Row],[JUMLAH]]="","",NOTA[[#This Row],[JUMLAH]]-NOTA[[#This Row],[DISC]])</f>
        <v/>
      </c>
      <c r="AB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82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2" s="46" t="str">
        <f>IF(OR(NOTA[[#This Row],[QTY]]="",NOTA[[#This Row],[HARGA SATUAN]]="",),"",NOTA[[#This Row],[QTY]]*NOTA[[#This Row],[HARGA SATUAN]])</f>
        <v/>
      </c>
      <c r="AF482" s="44">
        <f ca="1">IF(NOTA[ID_H]="","",INDEX(NOTA[TANGGAL],MATCH(,INDIRECT(ADDRESS(ROW(NOTA[TANGGAL]),COLUMN(NOTA[TANGGAL]))&amp;":"&amp;ADDRESS(ROW(),COLUMN(NOTA[TANGGAL]))),-1)))</f>
        <v>44862</v>
      </c>
      <c r="AG482" s="40" t="str">
        <f ca="1">IF(NOTA[[#This Row],[NAMA BARANG]]="","",INDEX(NOTA[SUPPLIER],MATCH(,INDIRECT(ADDRESS(ROW(NOTA[ID]),COLUMN(NOTA[ID]))&amp;":"&amp;ADDRESS(ROW(),COLUMN(NOTA[ID]))),-1)))</f>
        <v>BINTANG JAYA</v>
      </c>
      <c r="AH482" s="16">
        <f ca="1">IF(NOTA[[#This Row],[ID]]="","",COUNTIF(NOTA[ID_H],NOTA[[#This Row],[ID_H]]))</f>
        <v>1</v>
      </c>
      <c r="AI482" s="16">
        <f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1" t="str">
        <f>IF(NOTA[[#This Row],[ID_P]]="","",MATCH(NOTA[[#This Row],[ID_P]],[1]!B_MSK[N_ID],0))</f>
        <v/>
      </c>
      <c r="D483" s="41" t="str">
        <f ca="1">IF(NOTA[[#This Row],[NAMA BARANG]]="","",INDEX(NOTA[ID],MATCH(,INDIRECT(ADDRESS(ROW(NOTA[ID]),COLUMN(NOTA[ID]))&amp;":"&amp;ADDRESS(ROW(),COLUMN(NOTA[ID]))),-1)))</f>
        <v/>
      </c>
      <c r="E483" s="99"/>
      <c r="F483" s="89"/>
      <c r="G483" s="89"/>
      <c r="H483" s="90"/>
      <c r="J483" s="91"/>
      <c r="K483" s="89"/>
      <c r="M483" s="92"/>
      <c r="N483" s="89"/>
      <c r="P483" s="93"/>
      <c r="Q483" s="163"/>
      <c r="R483" s="98"/>
      <c r="S483" s="95"/>
      <c r="T483" s="96"/>
      <c r="U483" s="97"/>
      <c r="V483" s="88"/>
      <c r="W483" s="46" t="str">
        <f>IF(NOTA[[#This Row],[HARGA/ CTN]]="",NOTA[[#This Row],[JUMLAH_H]],NOTA[[#This Row],[HARGA/ CTN]]*NOTA[[#This Row],[C]])</f>
        <v/>
      </c>
      <c r="X483" s="46" t="str">
        <f>IF(NOTA[[#This Row],[JUMLAH]]="","",NOTA[[#This Row],[JUMLAH]]*NOTA[[#This Row],[DISC 1]])</f>
        <v/>
      </c>
      <c r="Y483" s="46" t="str">
        <f>IF(NOTA[[#This Row],[JUMLAH]]="","",(NOTA[[#This Row],[JUMLAH]]-NOTA[[#This Row],[DISC 1-]])*NOTA[[#This Row],[DISC 2]])</f>
        <v/>
      </c>
      <c r="Z483" s="46" t="str">
        <f>IF(NOTA[[#This Row],[JUMLAH]]="","",NOTA[[#This Row],[DISC 1-]]+NOTA[[#This Row],[DISC 2-]])</f>
        <v/>
      </c>
      <c r="AA483" s="46" t="str">
        <f>IF(NOTA[[#This Row],[JUMLAH]]="","",NOTA[[#This Row],[JUMLAH]]-NOTA[[#This Row],[DISC]])</f>
        <v/>
      </c>
      <c r="AB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6" t="str">
        <f>IF(OR(NOTA[[#This Row],[QTY]]="",NOTA[[#This Row],[HARGA SATUAN]]="",),"",NOTA[[#This Row],[QTY]]*NOTA[[#This Row],[HARGA SATUAN]])</f>
        <v/>
      </c>
      <c r="AF483" s="44" t="str">
        <f ca="1">IF(NOTA[ID_H]="","",INDEX(NOTA[TANGGAL],MATCH(,INDIRECT(ADDRESS(ROW(NOTA[TANGGAL]),COLUMN(NOTA[TANGGAL]))&amp;":"&amp;ADDRESS(ROW(),COLUMN(NOTA[TANGGAL]))),-1)))</f>
        <v/>
      </c>
      <c r="AG483" s="4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4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484" s="41" t="e">
        <f ca="1">IF(NOTA[[#This Row],[ID_P]]="","",MATCH(NOTA[[#This Row],[ID_P]],[1]!B_MSK[N_ID],0))</f>
        <v>#REF!</v>
      </c>
      <c r="D484" s="41">
        <f ca="1">IF(NOTA[[#This Row],[NAMA BARANG]]="","",INDEX(NOTA[ID],MATCH(,INDIRECT(ADDRESS(ROW(NOTA[ID]),COLUMN(NOTA[ID]))&amp;":"&amp;ADDRESS(ROW(),COLUMN(NOTA[ID]))),-1)))</f>
        <v>110</v>
      </c>
      <c r="E484" s="99"/>
      <c r="F484" s="16" t="s">
        <v>234</v>
      </c>
      <c r="G484" s="16" t="s">
        <v>87</v>
      </c>
      <c r="H484" s="24" t="s">
        <v>644</v>
      </c>
      <c r="J484" s="91">
        <v>44856</v>
      </c>
      <c r="K484" s="89"/>
      <c r="L484" s="16" t="s">
        <v>309</v>
      </c>
      <c r="M484" s="92">
        <v>5</v>
      </c>
      <c r="N484" s="89">
        <v>500</v>
      </c>
      <c r="O484" s="16" t="s">
        <v>210</v>
      </c>
      <c r="P484" s="93">
        <v>26780</v>
      </c>
      <c r="Q484" s="163"/>
      <c r="R484" s="98" t="s">
        <v>310</v>
      </c>
      <c r="S484" s="95">
        <v>0.2</v>
      </c>
      <c r="T484" s="96">
        <v>0.04</v>
      </c>
      <c r="U484" s="97"/>
      <c r="V484" s="88"/>
      <c r="W484" s="46">
        <f>IF(NOTA[[#This Row],[HARGA/ CTN]]="",NOTA[[#This Row],[JUMLAH_H]],NOTA[[#This Row],[HARGA/ CTN]]*NOTA[[#This Row],[C]])</f>
        <v>13390000</v>
      </c>
      <c r="X484" s="46">
        <f>IF(NOTA[[#This Row],[JUMLAH]]="","",NOTA[[#This Row],[JUMLAH]]*NOTA[[#This Row],[DISC 1]])</f>
        <v>2678000</v>
      </c>
      <c r="Y484" s="46">
        <f>IF(NOTA[[#This Row],[JUMLAH]]="","",(NOTA[[#This Row],[JUMLAH]]-NOTA[[#This Row],[DISC 1-]])*NOTA[[#This Row],[DISC 2]])</f>
        <v>428480</v>
      </c>
      <c r="Z484" s="46">
        <f>IF(NOTA[[#This Row],[JUMLAH]]="","",NOTA[[#This Row],[DISC 1-]]+NOTA[[#This Row],[DISC 2-]])</f>
        <v>3106480</v>
      </c>
      <c r="AA484" s="46">
        <f>IF(NOTA[[#This Row],[JUMLAH]]="","",NOTA[[#This Row],[JUMLAH]]-NOTA[[#This Row],[DISC]])</f>
        <v>10283520</v>
      </c>
      <c r="AB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4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4" s="46">
        <f>IF(OR(NOTA[[#This Row],[QTY]]="",NOTA[[#This Row],[HARGA SATUAN]]="",),"",NOTA[[#This Row],[QTY]]*NOTA[[#This Row],[HARGA SATUAN]])</f>
        <v>13390000</v>
      </c>
      <c r="AF484" s="44">
        <f ca="1">IF(NOTA[ID_H]="","",INDEX(NOTA[TANGGAL],MATCH(,INDIRECT(ADDRESS(ROW(NOTA[TANGGAL]),COLUMN(NOTA[TANGGAL]))&amp;":"&amp;ADDRESS(ROW(),COLUMN(NOTA[TANGGAL]))),-1)))</f>
        <v>44862</v>
      </c>
      <c r="AG484" s="40" t="str">
        <f ca="1">IF(NOTA[[#This Row],[NAMA BARANG]]="","",INDEX(NOTA[SUPPLIER],MATCH(,INDIRECT(ADDRESS(ROW(NOTA[ID]),COLUMN(NOTA[ID]))&amp;":"&amp;ADDRESS(ROW(),COLUMN(NOTA[ID]))),-1)))</f>
        <v>PPW</v>
      </c>
      <c r="AH484" s="16">
        <f ca="1">IF(NOTA[[#This Row],[ID]]="","",COUNTIF(NOTA[ID_H],NOTA[[#This Row],[ID_H]]))</f>
        <v>1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1" t="str">
        <f>IF(NOTA[[#This Row],[ID_P]]="","",MATCH(NOTA[[#This Row],[ID_P]],[1]!B_MSK[N_ID],0))</f>
        <v/>
      </c>
      <c r="D485" s="41" t="str">
        <f ca="1">IF(NOTA[[#This Row],[NAMA BARANG]]="","",INDEX(NOTA[ID],MATCH(,INDIRECT(ADDRESS(ROW(NOTA[ID]),COLUMN(NOTA[ID]))&amp;":"&amp;ADDRESS(ROW(),COLUMN(NOTA[ID]))),-1)))</f>
        <v/>
      </c>
      <c r="E485" s="99"/>
      <c r="F485" s="89"/>
      <c r="G485" s="89"/>
      <c r="H485" s="90"/>
      <c r="J485" s="91"/>
      <c r="K485" s="89"/>
      <c r="M485" s="92"/>
      <c r="N485" s="89"/>
      <c r="P485" s="93"/>
      <c r="Q485" s="163"/>
      <c r="R485" s="98"/>
      <c r="S485" s="95"/>
      <c r="T485" s="96"/>
      <c r="U485" s="97"/>
      <c r="V485" s="88"/>
      <c r="W485" s="46" t="str">
        <f>IF(NOTA[[#This Row],[HARGA/ CTN]]="",NOTA[[#This Row],[JUMLAH_H]],NOTA[[#This Row],[HARGA/ CTN]]*NOTA[[#This Row],[C]])</f>
        <v/>
      </c>
      <c r="X485" s="46" t="str">
        <f>IF(NOTA[[#This Row],[JUMLAH]]="","",NOTA[[#This Row],[JUMLAH]]*NOTA[[#This Row],[DISC 1]])</f>
        <v/>
      </c>
      <c r="Y485" s="46" t="str">
        <f>IF(NOTA[[#This Row],[JUMLAH]]="","",(NOTA[[#This Row],[JUMLAH]]-NOTA[[#This Row],[DISC 1-]])*NOTA[[#This Row],[DISC 2]])</f>
        <v/>
      </c>
      <c r="Z485" s="46" t="str">
        <f>IF(NOTA[[#This Row],[JUMLAH]]="","",NOTA[[#This Row],[DISC 1-]]+NOTA[[#This Row],[DISC 2-]])</f>
        <v/>
      </c>
      <c r="AA485" s="46" t="str">
        <f>IF(NOTA[[#This Row],[JUMLAH]]="","",NOTA[[#This Row],[JUMLAH]]-NOTA[[#This Row],[DISC]])</f>
        <v/>
      </c>
      <c r="AB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6" t="str">
        <f>IF(OR(NOTA[[#This Row],[QTY]]="",NOTA[[#This Row],[HARGA SATUAN]]="",),"",NOTA[[#This Row],[QTY]]*NOTA[[#This Row],[HARGA SATUAN]])</f>
        <v/>
      </c>
      <c r="AF485" s="44" t="str">
        <f ca="1">IF(NOTA[ID_H]="","",INDEX(NOTA[TANGGAL],MATCH(,INDIRECT(ADDRESS(ROW(NOTA[TANGGAL]),COLUMN(NOTA[TANGGAL]))&amp;":"&amp;ADDRESS(ROW(),COLUMN(NOTA[TANGGAL]))),-1)))</f>
        <v/>
      </c>
      <c r="AG485" s="4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 t="str">
        <f ca="1">IF(NOTA[[#This Row],[TGL.NOTA]]="",IF(NOTA[[#This Row],[SUPPLIER_H]]="","",AI484),MONTH(NOTA[[#This Row],[TGL.NOTA]]))</f>
        <v/>
      </c>
      <c r="AJ485" s="16"/>
    </row>
    <row r="486" spans="1:36" ht="20.100000000000001" customHeight="1" x14ac:dyDescent="0.25">
      <c r="A486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4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486" s="41" t="e">
        <f ca="1">IF(NOTA[[#This Row],[ID_P]]="","",MATCH(NOTA[[#This Row],[ID_P]],[1]!B_MSK[N_ID],0))</f>
        <v>#REF!</v>
      </c>
      <c r="D486" s="41">
        <f ca="1">IF(NOTA[[#This Row],[NAMA BARANG]]="","",INDEX(NOTA[ID],MATCH(,INDIRECT(ADDRESS(ROW(NOTA[ID]),COLUMN(NOTA[ID]))&amp;":"&amp;ADDRESS(ROW(),COLUMN(NOTA[ID]))),-1)))</f>
        <v>111</v>
      </c>
      <c r="E486" s="99"/>
      <c r="F486" s="16" t="s">
        <v>242</v>
      </c>
      <c r="G486" s="16" t="s">
        <v>87</v>
      </c>
      <c r="H486" s="24"/>
      <c r="I486" s="16" t="s">
        <v>645</v>
      </c>
      <c r="J486" s="91">
        <v>44856</v>
      </c>
      <c r="K486" s="89"/>
      <c r="L486" s="16" t="s">
        <v>646</v>
      </c>
      <c r="M486" s="92">
        <v>3</v>
      </c>
      <c r="N486" s="89">
        <v>7500</v>
      </c>
      <c r="O486" s="16" t="s">
        <v>647</v>
      </c>
      <c r="P486" s="93">
        <v>700</v>
      </c>
      <c r="Q486" s="163"/>
      <c r="R486" s="98" t="s">
        <v>648</v>
      </c>
      <c r="S486" s="95"/>
      <c r="T486" s="96"/>
      <c r="U486" s="97"/>
      <c r="V486" s="88"/>
      <c r="W486" s="46">
        <f>IF(NOTA[[#This Row],[HARGA/ CTN]]="",NOTA[[#This Row],[JUMLAH_H]],NOTA[[#This Row],[HARGA/ CTN]]*NOTA[[#This Row],[C]])</f>
        <v>5250000</v>
      </c>
      <c r="X486" s="46">
        <f>IF(NOTA[[#This Row],[JUMLAH]]="","",NOTA[[#This Row],[JUMLAH]]*NOTA[[#This Row],[DISC 1]])</f>
        <v>0</v>
      </c>
      <c r="Y486" s="46">
        <f>IF(NOTA[[#This Row],[JUMLAH]]="","",(NOTA[[#This Row],[JUMLAH]]-NOTA[[#This Row],[DISC 1-]])*NOTA[[#This Row],[DISC 2]])</f>
        <v>0</v>
      </c>
      <c r="Z486" s="46">
        <f>IF(NOTA[[#This Row],[JUMLAH]]="","",NOTA[[#This Row],[DISC 1-]]+NOTA[[#This Row],[DISC 2-]])</f>
        <v>0</v>
      </c>
      <c r="AA486" s="46">
        <f>IF(NOTA[[#This Row],[JUMLAH]]="","",NOTA[[#This Row],[JUMLAH]]-NOTA[[#This Row],[DISC]])</f>
        <v>5250000</v>
      </c>
      <c r="AB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8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86" s="46">
        <f>IF(OR(NOTA[[#This Row],[QTY]]="",NOTA[[#This Row],[HARGA SATUAN]]="",),"",NOTA[[#This Row],[QTY]]*NOTA[[#This Row],[HARGA SATUAN]])</f>
        <v>5250000</v>
      </c>
      <c r="AF486" s="44">
        <f ca="1">IF(NOTA[ID_H]="","",INDEX(NOTA[TANGGAL],MATCH(,INDIRECT(ADDRESS(ROW(NOTA[TANGGAL]),COLUMN(NOTA[TANGGAL]))&amp;":"&amp;ADDRESS(ROW(),COLUMN(NOTA[TANGGAL]))),-1)))</f>
        <v>44862</v>
      </c>
      <c r="AG486" s="40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>
        <f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1" t="str">
        <f>IF(NOTA[[#This Row],[ID_P]]="","",MATCH(NOTA[[#This Row],[ID_P]],[1]!B_MSK[N_ID],0))</f>
        <v/>
      </c>
      <c r="D487" s="41" t="str">
        <f ca="1">IF(NOTA[[#This Row],[NAMA BARANG]]="","",INDEX(NOTA[ID],MATCH(,INDIRECT(ADDRESS(ROW(NOTA[ID]),COLUMN(NOTA[ID]))&amp;":"&amp;ADDRESS(ROW(),COLUMN(NOTA[ID]))),-1)))</f>
        <v/>
      </c>
      <c r="E487" s="99"/>
      <c r="H487" s="24"/>
      <c r="I487" s="89"/>
      <c r="J487" s="91"/>
      <c r="K487" s="89"/>
      <c r="M487" s="92"/>
      <c r="N487" s="89"/>
      <c r="P487" s="93"/>
      <c r="Q487" s="163"/>
      <c r="R487" s="98"/>
      <c r="S487" s="95"/>
      <c r="T487" s="96"/>
      <c r="U487" s="97"/>
      <c r="V487" s="88"/>
      <c r="W487" s="46" t="str">
        <f>IF(NOTA[[#This Row],[HARGA/ CTN]]="",NOTA[[#This Row],[JUMLAH_H]],NOTA[[#This Row],[HARGA/ CTN]]*NOTA[[#This Row],[C]])</f>
        <v/>
      </c>
      <c r="X487" s="46" t="str">
        <f>IF(NOTA[[#This Row],[JUMLAH]]="","",NOTA[[#This Row],[JUMLAH]]*NOTA[[#This Row],[DISC 1]])</f>
        <v/>
      </c>
      <c r="Y487" s="46" t="str">
        <f>IF(NOTA[[#This Row],[JUMLAH]]="","",(NOTA[[#This Row],[JUMLAH]]-NOTA[[#This Row],[DISC 1-]])*NOTA[[#This Row],[DISC 2]])</f>
        <v/>
      </c>
      <c r="Z487" s="46" t="str">
        <f>IF(NOTA[[#This Row],[JUMLAH]]="","",NOTA[[#This Row],[DISC 1-]]+NOTA[[#This Row],[DISC 2-]])</f>
        <v/>
      </c>
      <c r="AA487" s="46" t="str">
        <f>IF(NOTA[[#This Row],[JUMLAH]]="","",NOTA[[#This Row],[JUMLAH]]-NOTA[[#This Row],[DISC]])</f>
        <v/>
      </c>
      <c r="AB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6" t="str">
        <f>IF(OR(NOTA[[#This Row],[QTY]]="",NOTA[[#This Row],[HARGA SATUAN]]="",),"",NOTA[[#This Row],[QTY]]*NOTA[[#This Row],[HARGA SATUAN]])</f>
        <v/>
      </c>
      <c r="AF487" s="44" t="str">
        <f ca="1">IF(NOTA[ID_H]="","",INDEX(NOTA[TANGGAL],MATCH(,INDIRECT(ADDRESS(ROW(NOTA[TANGGAL]),COLUMN(NOTA[TANGGAL]))&amp;":"&amp;ADDRESS(ROW(),COLUMN(NOTA[TANGGAL]))),-1)))</f>
        <v/>
      </c>
      <c r="AG487" s="4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 t="str">
        <f ca="1">IF(NOTA[[#This Row],[TGL.NOTA]]="",IF(NOTA[[#This Row],[SUPPLIER_H]]="","",AI486),MONTH(NOTA[[#This Row],[TGL.NOTA]]))</f>
        <v/>
      </c>
      <c r="AJ487" s="16"/>
    </row>
    <row r="488" spans="1:36" ht="20.100000000000001" customHeight="1" x14ac:dyDescent="0.25">
      <c r="A488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4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488" s="41" t="e">
        <f ca="1">IF(NOTA[[#This Row],[ID_P]]="","",MATCH(NOTA[[#This Row],[ID_P]],[1]!B_MSK[N_ID],0))</f>
        <v>#REF!</v>
      </c>
      <c r="D488" s="41">
        <f ca="1">IF(NOTA[[#This Row],[NAMA BARANG]]="","",INDEX(NOTA[ID],MATCH(,INDIRECT(ADDRESS(ROW(NOTA[ID]),COLUMN(NOTA[ID]))&amp;":"&amp;ADDRESS(ROW(),COLUMN(NOTA[ID]))),-1)))</f>
        <v>112</v>
      </c>
      <c r="E488" s="99"/>
      <c r="F488" s="16" t="s">
        <v>560</v>
      </c>
      <c r="G488" s="16" t="s">
        <v>87</v>
      </c>
      <c r="H488" s="24" t="s">
        <v>649</v>
      </c>
      <c r="I488" s="89"/>
      <c r="J488" s="91">
        <v>44851</v>
      </c>
      <c r="K488" s="89"/>
      <c r="L488" s="16" t="s">
        <v>650</v>
      </c>
      <c r="M488" s="92">
        <v>10</v>
      </c>
      <c r="N488" s="89">
        <v>960</v>
      </c>
      <c r="O488" s="16" t="s">
        <v>88</v>
      </c>
      <c r="P488" s="93">
        <v>23333</v>
      </c>
      <c r="Q488" s="163"/>
      <c r="R488" s="98" t="s">
        <v>410</v>
      </c>
      <c r="S488" s="95"/>
      <c r="T488" s="96"/>
      <c r="U488" s="97"/>
      <c r="V488" s="88"/>
      <c r="W488" s="46">
        <f>IF(NOTA[[#This Row],[HARGA/ CTN]]="",NOTA[[#This Row],[JUMLAH_H]],NOTA[[#This Row],[HARGA/ CTN]]*NOTA[[#This Row],[C]])</f>
        <v>22399680</v>
      </c>
      <c r="X488" s="46">
        <f>IF(NOTA[[#This Row],[JUMLAH]]="","",NOTA[[#This Row],[JUMLAH]]*NOTA[[#This Row],[DISC 1]])</f>
        <v>0</v>
      </c>
      <c r="Y488" s="46">
        <f>IF(NOTA[[#This Row],[JUMLAH]]="","",(NOTA[[#This Row],[JUMLAH]]-NOTA[[#This Row],[DISC 1-]])*NOTA[[#This Row],[DISC 2]])</f>
        <v>0</v>
      </c>
      <c r="Z488" s="46">
        <f>IF(NOTA[[#This Row],[JUMLAH]]="","",NOTA[[#This Row],[DISC 1-]]+NOTA[[#This Row],[DISC 2-]])</f>
        <v>0</v>
      </c>
      <c r="AA488" s="46">
        <f>IF(NOTA[[#This Row],[JUMLAH]]="","",NOTA[[#This Row],[JUMLAH]]-NOTA[[#This Row],[DISC]])</f>
        <v>22399680</v>
      </c>
      <c r="AB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488" s="46">
        <f>IF(OR(NOTA[[#This Row],[QTY]]="",NOTA[[#This Row],[HARGA SATUAN]]="",),"",NOTA[[#This Row],[QTY]]*NOTA[[#This Row],[HARGA SATUAN]])</f>
        <v>22399680</v>
      </c>
      <c r="AF488" s="44">
        <f ca="1">IF(NOTA[ID_H]="","",INDEX(NOTA[TANGGAL],MATCH(,INDIRECT(ADDRESS(ROW(NOTA[TANGGAL]),COLUMN(NOTA[TANGGAL]))&amp;":"&amp;ADDRESS(ROW(),COLUMN(NOTA[TANGGAL]))),-1)))</f>
        <v>44862</v>
      </c>
      <c r="AG488" s="40" t="str">
        <f ca="1">IF(NOTA[[#This Row],[NAMA BARANG]]="","",INDEX(NOTA[SUPPLIER],MATCH(,INDIRECT(ADDRESS(ROW(NOTA[ID]),COLUMN(NOTA[ID]))&amp;":"&amp;ADDRESS(ROW(),COLUMN(NOTA[ID]))),-1)))</f>
        <v>SBS</v>
      </c>
      <c r="AH488" s="16">
        <f ca="1">IF(NOTA[[#This Row],[ID]]="","",COUNTIF(NOTA[ID_H],NOTA[[#This Row],[ID_H]]))</f>
        <v>2</v>
      </c>
      <c r="AI488" s="16">
        <f>IF(NOTA[[#This Row],[TGL.NOTA]]="",IF(NOTA[[#This Row],[SUPPLIER_H]]="","",AI487),MONTH(NOTA[[#This Row],[TGL.NOTA]]))</f>
        <v>10</v>
      </c>
      <c r="AJ488" s="16"/>
    </row>
    <row r="489" spans="1:36" ht="20.100000000000001" customHeight="1" x14ac:dyDescent="0.25">
      <c r="A48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1" t="str">
        <f>IF(NOTA[[#This Row],[ID_P]]="","",MATCH(NOTA[[#This Row],[ID_P]],[1]!B_MSK[N_ID],0))</f>
        <v/>
      </c>
      <c r="D489" s="41">
        <f ca="1">IF(NOTA[[#This Row],[NAMA BARANG]]="","",INDEX(NOTA[ID],MATCH(,INDIRECT(ADDRESS(ROW(NOTA[ID]),COLUMN(NOTA[ID]))&amp;":"&amp;ADDRESS(ROW(),COLUMN(NOTA[ID]))),-1)))</f>
        <v>112</v>
      </c>
      <c r="E489" s="99"/>
      <c r="H489" s="24"/>
      <c r="I489" s="89"/>
      <c r="K489" s="89"/>
      <c r="L489" s="16" t="s">
        <v>650</v>
      </c>
      <c r="M489" s="92">
        <v>1</v>
      </c>
      <c r="N489" s="89">
        <v>96</v>
      </c>
      <c r="O489" s="16" t="s">
        <v>88</v>
      </c>
      <c r="P489" s="93"/>
      <c r="Q489" s="163"/>
      <c r="R489" s="98" t="s">
        <v>410</v>
      </c>
      <c r="S489" s="95"/>
      <c r="T489" s="96"/>
      <c r="U489" s="97"/>
      <c r="V489" s="88" t="s">
        <v>559</v>
      </c>
      <c r="W489" s="46" t="str">
        <f>IF(NOTA[[#This Row],[HARGA/ CTN]]="",NOTA[[#This Row],[JUMLAH_H]],NOTA[[#This Row],[HARGA/ CTN]]*NOTA[[#This Row],[C]])</f>
        <v/>
      </c>
      <c r="X489" s="46" t="str">
        <f>IF(NOTA[[#This Row],[JUMLAH]]="","",NOTA[[#This Row],[JUMLAH]]*NOTA[[#This Row],[DISC 1]])</f>
        <v/>
      </c>
      <c r="Y489" s="46" t="str">
        <f>IF(NOTA[[#This Row],[JUMLAH]]="","",(NOTA[[#This Row],[JUMLAH]]-NOTA[[#This Row],[DISC 1-]])*NOTA[[#This Row],[DISC 2]])</f>
        <v/>
      </c>
      <c r="Z489" s="46" t="str">
        <f>IF(NOTA[[#This Row],[JUMLAH]]="","",NOTA[[#This Row],[DISC 1-]]+NOTA[[#This Row],[DISC 2-]])</f>
        <v/>
      </c>
      <c r="AA489" s="46" t="str">
        <f>IF(NOTA[[#This Row],[JUMLAH]]="","",NOTA[[#This Row],[JUMLAH]]-NOTA[[#This Row],[DISC]])</f>
        <v/>
      </c>
      <c r="AB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SBS</v>
      </c>
      <c r="AH489" s="16" t="str">
        <f ca="1">IF(NOTA[[#This Row],[ID]]="","",COUNTIF(NOTA[ID_H],NOTA[[#This Row],[ID_H]]))</f>
        <v/>
      </c>
      <c r="AI489" s="16">
        <f ca="1"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 t="str">
        <f ca="1">IF(NOTA[[#This Row],[NAMA BARANG]]="","",INDEX(NOTA[ID],MATCH(,INDIRECT(ADDRESS(ROW(NOTA[ID]),COLUMN(NOTA[ID]))&amp;":"&amp;ADDRESS(ROW(),COLUMN(NOTA[ID]))),-1)))</f>
        <v/>
      </c>
      <c r="E490" s="99"/>
      <c r="F490" s="89"/>
      <c r="G490" s="89"/>
      <c r="H490" s="90"/>
      <c r="I490" s="89"/>
      <c r="J490" s="91"/>
      <c r="K490" s="89"/>
      <c r="L490" s="89"/>
      <c r="M490" s="92"/>
      <c r="N490" s="89"/>
      <c r="O490" s="89"/>
      <c r="P490" s="93"/>
      <c r="Q490" s="163"/>
      <c r="R490" s="94"/>
      <c r="S490" s="95"/>
      <c r="T490" s="96"/>
      <c r="U490" s="97"/>
      <c r="V490" s="88"/>
      <c r="W490" s="46" t="str">
        <f>IF(NOTA[[#This Row],[HARGA/ CTN]]="",NOTA[[#This Row],[JUMLAH_H]],NOTA[[#This Row],[HARGA/ CTN]]*NOTA[[#This Row],[C]])</f>
        <v/>
      </c>
      <c r="X490" s="46" t="str">
        <f>IF(NOTA[[#This Row],[JUMLAH]]="","",NOTA[[#This Row],[JUMLAH]]*NOTA[[#This Row],[DISC 1]])</f>
        <v/>
      </c>
      <c r="Y490" s="46" t="str">
        <f>IF(NOTA[[#This Row],[JUMLAH]]="","",(NOTA[[#This Row],[JUMLAH]]-NOTA[[#This Row],[DISC 1-]])*NOTA[[#This Row],[DISC 2]])</f>
        <v/>
      </c>
      <c r="Z490" s="46" t="str">
        <f>IF(NOTA[[#This Row],[JUMLAH]]="","",NOTA[[#This Row],[DISC 1-]]+NOTA[[#This Row],[DISC 2-]])</f>
        <v/>
      </c>
      <c r="AA490" s="46" t="str">
        <f>IF(NOTA[[#This Row],[JUMLAH]]="","",NOTA[[#This Row],[JUMLAH]]-NOTA[[#This Row],[DISC]])</f>
        <v/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46" t="str">
        <f>IF(OR(NOTA[[#This Row],[QTY]]="",NOTA[[#This Row],[HARGA SATUAN]]="",),"",NOTA[[#This Row],[QTY]]*NOTA[[#This Row],[HARGA SATUAN]])</f>
        <v/>
      </c>
      <c r="AF490" s="44" t="str">
        <f ca="1">IF(NOTA[ID_H]="","",INDEX(NOTA[TANGGAL],MATCH(,INDIRECT(ADDRESS(ROW(NOTA[TANGGAL]),COLUMN(NOTA[TANGGAL]))&amp;":"&amp;ADDRESS(ROW(),COLUMN(NOTA[TANGGAL]))),-1)))</f>
        <v/>
      </c>
      <c r="AG490" s="40" t="str">
        <f ca="1">IF(NOTA[[#This Row],[NAMA BARANG]]="","",INDEX(NOTA[SUPPLIER],MATCH(,INDIRECT(ADDRESS(ROW(NOTA[ID]),COLUMN(NOTA[ID]))&amp;":"&amp;ADDRESS(ROW(),COLUMN(NOTA[ID]))),-1)))</f>
        <v/>
      </c>
      <c r="AH490" s="16" t="str">
        <f ca="1">IF(NOTA[[#This Row],[ID]]="","",COUNTIF(NOTA[ID_H],NOTA[[#This Row],[ID_H]]))</f>
        <v/>
      </c>
      <c r="AI490" s="16" t="str">
        <f ca="1">IF(NOTA[[#This Row],[TGL.NOTA]]="",IF(NOTA[[#This Row],[SUPPLIER_H]]="","",AI489),MONTH(NOTA[[#This Row],[TGL.NOTA]]))</f>
        <v/>
      </c>
      <c r="AJ490" s="16"/>
    </row>
    <row r="491" spans="1:36" ht="20.100000000000001" customHeight="1" x14ac:dyDescent="0.25">
      <c r="A491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4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491" s="41" t="e">
        <f ca="1">IF(NOTA[[#This Row],[ID_P]]="","",MATCH(NOTA[[#This Row],[ID_P]],[1]!B_MSK[N_ID],0))</f>
        <v>#REF!</v>
      </c>
      <c r="D491" s="41">
        <f ca="1">IF(NOTA[[#This Row],[NAMA BARANG]]="","",INDEX(NOTA[ID],MATCH(,INDIRECT(ADDRESS(ROW(NOTA[ID]),COLUMN(NOTA[ID]))&amp;":"&amp;ADDRESS(ROW(),COLUMN(NOTA[ID]))),-1)))</f>
        <v>113</v>
      </c>
      <c r="E491" s="99"/>
      <c r="F491" s="16" t="s">
        <v>560</v>
      </c>
      <c r="G491" s="16" t="s">
        <v>87</v>
      </c>
      <c r="H491" s="24" t="s">
        <v>651</v>
      </c>
      <c r="I491" s="89"/>
      <c r="J491" s="91">
        <v>44838</v>
      </c>
      <c r="K491" s="89"/>
      <c r="L491" s="16" t="s">
        <v>652</v>
      </c>
      <c r="M491" s="92">
        <v>10</v>
      </c>
      <c r="N491" s="89">
        <v>1200</v>
      </c>
      <c r="O491" s="16" t="s">
        <v>287</v>
      </c>
      <c r="P491" s="93">
        <v>10800</v>
      </c>
      <c r="Q491" s="163"/>
      <c r="R491" s="98" t="s">
        <v>653</v>
      </c>
      <c r="S491" s="95"/>
      <c r="T491" s="96"/>
      <c r="U491" s="97"/>
      <c r="V491" s="88" t="s">
        <v>661</v>
      </c>
      <c r="W491" s="46">
        <f>IF(NOTA[[#This Row],[HARGA/ CTN]]="",NOTA[[#This Row],[JUMLAH_H]],NOTA[[#This Row],[HARGA/ CTN]]*NOTA[[#This Row],[C]])</f>
        <v>12960000</v>
      </c>
      <c r="X491" s="46">
        <f>IF(NOTA[[#This Row],[JUMLAH]]="","",NOTA[[#This Row],[JUMLAH]]*NOTA[[#This Row],[DISC 1]])</f>
        <v>0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0</v>
      </c>
      <c r="AA491" s="46">
        <f>IF(NOTA[[#This Row],[JUMLAH]]="","",NOTA[[#This Row],[JUMLAH]]-NOTA[[#This Row],[DISC]])</f>
        <v>12960000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1" s="46">
        <f>IF(OR(NOTA[[#This Row],[QTY]]="",NOTA[[#This Row],[HARGA SATUAN]]="",),"",NOTA[[#This Row],[QTY]]*NOTA[[#This Row],[HARGA SATUAN]])</f>
        <v>12960000</v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SBS</v>
      </c>
      <c r="AH491" s="16">
        <f ca="1">IF(NOTA[[#This Row],[ID]]="","",COUNTIF(NOTA[ID_H],NOTA[[#This Row],[ID_H]]))</f>
        <v>8</v>
      </c>
      <c r="AI491" s="16">
        <f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113</v>
      </c>
      <c r="E492" s="51"/>
      <c r="F492" s="31"/>
      <c r="G492" s="31"/>
      <c r="H492" s="33"/>
      <c r="I492" s="42"/>
      <c r="J492" s="44"/>
      <c r="K492" s="42"/>
      <c r="L492" s="16" t="s">
        <v>654</v>
      </c>
      <c r="M492" s="92">
        <v>10</v>
      </c>
      <c r="N492" s="89">
        <v>1200</v>
      </c>
      <c r="O492" s="16" t="s">
        <v>287</v>
      </c>
      <c r="P492" s="93">
        <v>10800</v>
      </c>
      <c r="Q492" s="163"/>
      <c r="R492" s="98" t="s">
        <v>653</v>
      </c>
      <c r="S492" s="47"/>
      <c r="T492" s="47"/>
      <c r="U492" s="46"/>
      <c r="V492" s="88" t="s">
        <v>661</v>
      </c>
      <c r="W492" s="46">
        <f>IF(NOTA[[#This Row],[HARGA/ CTN]]="",NOTA[[#This Row],[JUMLAH_H]],NOTA[[#This Row],[HARGA/ CTN]]*NOTA[[#This Row],[C]])</f>
        <v>12960000</v>
      </c>
      <c r="X492" s="46">
        <f>IF(NOTA[[#This Row],[JUMLAH]]="","",NOTA[[#This Row],[JUMLAH]]*NOTA[[#This Row],[DISC 1]])</f>
        <v>0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0</v>
      </c>
      <c r="AA492" s="46">
        <f>IF(NOTA[[#This Row],[JUMLAH]]="","",NOTA[[#This Row],[JUMLAH]]-NOTA[[#This Row],[DISC]])</f>
        <v>12960000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2" s="46">
        <f>IF(OR(NOTA[[#This Row],[QTY]]="",NOTA[[#This Row],[HARGA SATUAN]]="",),"",NOTA[[#This Row],[QTY]]*NOTA[[#This Row],[HARGA SATUAN]])</f>
        <v>12960000</v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SBS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113</v>
      </c>
      <c r="E493" s="51"/>
      <c r="F493" s="31"/>
      <c r="G493" s="31"/>
      <c r="H493" s="33"/>
      <c r="I493" s="42"/>
      <c r="J493" s="44"/>
      <c r="K493" s="42"/>
      <c r="L493" s="16" t="s">
        <v>655</v>
      </c>
      <c r="M493" s="92">
        <v>10</v>
      </c>
      <c r="N493" s="89">
        <v>1200</v>
      </c>
      <c r="O493" s="16" t="s">
        <v>287</v>
      </c>
      <c r="P493" s="93">
        <v>10800</v>
      </c>
      <c r="Q493" s="163"/>
      <c r="R493" s="98" t="s">
        <v>653</v>
      </c>
      <c r="S493" s="47"/>
      <c r="T493" s="47"/>
      <c r="U493" s="46"/>
      <c r="V493" s="88" t="s">
        <v>661</v>
      </c>
      <c r="W493" s="46">
        <f>IF(NOTA[[#This Row],[HARGA/ CTN]]="",NOTA[[#This Row],[JUMLAH_H]],NOTA[[#This Row],[HARGA/ CTN]]*NOTA[[#This Row],[C]])</f>
        <v>12960000</v>
      </c>
      <c r="X493" s="46">
        <f>IF(NOTA[[#This Row],[JUMLAH]]="","",NOTA[[#This Row],[JUMLAH]]*NOTA[[#This Row],[DISC 1]])</f>
        <v>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0</v>
      </c>
      <c r="AA493" s="46">
        <f>IF(NOTA[[#This Row],[JUMLAH]]="","",NOTA[[#This Row],[JUMLAH]]-NOTA[[#This Row],[DISC]])</f>
        <v>12960000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3" s="46">
        <f>IF(OR(NOTA[[#This Row],[QTY]]="",NOTA[[#This Row],[HARGA SATUAN]]="",),"",NOTA[[#This Row],[QTY]]*NOTA[[#This Row],[HARGA SATUAN]])</f>
        <v>12960000</v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SBS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113</v>
      </c>
      <c r="E494" s="51"/>
      <c r="F494" s="31"/>
      <c r="G494" s="31"/>
      <c r="H494" s="33"/>
      <c r="I494" s="42"/>
      <c r="J494" s="44"/>
      <c r="K494" s="42"/>
      <c r="L494" s="31" t="s">
        <v>656</v>
      </c>
      <c r="M494" s="45">
        <v>10</v>
      </c>
      <c r="N494" s="42">
        <v>1200</v>
      </c>
      <c r="O494" s="31" t="s">
        <v>287</v>
      </c>
      <c r="P494" s="40">
        <v>10800</v>
      </c>
      <c r="Q494" s="162"/>
      <c r="R494" s="35" t="s">
        <v>653</v>
      </c>
      <c r="S494" s="47"/>
      <c r="T494" s="47"/>
      <c r="U494" s="46"/>
      <c r="V494" s="88" t="s">
        <v>661</v>
      </c>
      <c r="W494" s="46">
        <f>IF(NOTA[[#This Row],[HARGA/ CTN]]="",NOTA[[#This Row],[JUMLAH_H]],NOTA[[#This Row],[HARGA/ CTN]]*NOTA[[#This Row],[C]])</f>
        <v>12960000</v>
      </c>
      <c r="X494" s="46">
        <f>IF(NOTA[[#This Row],[JUMLAH]]="","",NOTA[[#This Row],[JUMLAH]]*NOTA[[#This Row],[DISC 1]])</f>
        <v>0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0</v>
      </c>
      <c r="AA494" s="46">
        <f>IF(NOTA[[#This Row],[JUMLAH]]="","",NOTA[[#This Row],[JUMLAH]]-NOTA[[#This Row],[DISC]])</f>
        <v>12960000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4" s="46">
        <f>IF(OR(NOTA[[#This Row],[QTY]]="",NOTA[[#This Row],[HARGA SATUAN]]="",),"",NOTA[[#This Row],[QTY]]*NOTA[[#This Row],[HARGA SATUAN]])</f>
        <v>12960000</v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SBS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113</v>
      </c>
      <c r="E495" s="51"/>
      <c r="F495" s="31"/>
      <c r="G495" s="31"/>
      <c r="H495" s="33"/>
      <c r="I495" s="42"/>
      <c r="J495" s="44"/>
      <c r="K495" s="42"/>
      <c r="L495" s="31" t="s">
        <v>657</v>
      </c>
      <c r="M495" s="45">
        <v>10</v>
      </c>
      <c r="N495" s="42">
        <v>1200</v>
      </c>
      <c r="O495" s="31" t="s">
        <v>287</v>
      </c>
      <c r="P495" s="40">
        <v>10800</v>
      </c>
      <c r="Q495" s="162"/>
      <c r="R495" s="35" t="s">
        <v>653</v>
      </c>
      <c r="S495" s="47"/>
      <c r="T495" s="47"/>
      <c r="U495" s="46"/>
      <c r="V495" s="88" t="s">
        <v>661</v>
      </c>
      <c r="W495" s="46">
        <f>IF(NOTA[[#This Row],[HARGA/ CTN]]="",NOTA[[#This Row],[JUMLAH_H]],NOTA[[#This Row],[HARGA/ CTN]]*NOTA[[#This Row],[C]])</f>
        <v>12960000</v>
      </c>
      <c r="X495" s="46">
        <f>IF(NOTA[[#This Row],[JUMLAH]]="","",NOTA[[#This Row],[JUMLAH]]*NOTA[[#This Row],[DISC 1]])</f>
        <v>0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0</v>
      </c>
      <c r="AA495" s="46">
        <f>IF(NOTA[[#This Row],[JUMLAH]]="","",NOTA[[#This Row],[JUMLAH]]-NOTA[[#This Row],[DISC]])</f>
        <v>12960000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5" s="46">
        <f>IF(OR(NOTA[[#This Row],[QTY]]="",NOTA[[#This Row],[HARGA SATUAN]]="",),"",NOTA[[#This Row],[QTY]]*NOTA[[#This Row],[HARGA SATUAN]])</f>
        <v>12960000</v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SBS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113</v>
      </c>
      <c r="E496" s="51"/>
      <c r="F496" s="31"/>
      <c r="G496" s="31"/>
      <c r="H496" s="33"/>
      <c r="I496" s="42"/>
      <c r="J496" s="44"/>
      <c r="K496" s="31"/>
      <c r="L496" s="31" t="s">
        <v>658</v>
      </c>
      <c r="M496" s="45">
        <v>10</v>
      </c>
      <c r="N496" s="42">
        <v>1200</v>
      </c>
      <c r="O496" s="31" t="s">
        <v>287</v>
      </c>
      <c r="P496" s="40">
        <v>10800</v>
      </c>
      <c r="Q496" s="162"/>
      <c r="R496" s="35" t="s">
        <v>653</v>
      </c>
      <c r="S496" s="47"/>
      <c r="T496" s="47"/>
      <c r="U496" s="46"/>
      <c r="V496" s="88" t="s">
        <v>661</v>
      </c>
      <c r="W496" s="46">
        <f>IF(NOTA[[#This Row],[HARGA/ CTN]]="",NOTA[[#This Row],[JUMLAH_H]],NOTA[[#This Row],[HARGA/ CTN]]*NOTA[[#This Row],[C]])</f>
        <v>12960000</v>
      </c>
      <c r="X496" s="46">
        <f>IF(NOTA[[#This Row],[JUMLAH]]="","",NOTA[[#This Row],[JUMLAH]]*NOTA[[#This Row],[DISC 1]])</f>
        <v>0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0</v>
      </c>
      <c r="AA496" s="46">
        <f>IF(NOTA[[#This Row],[JUMLAH]]="","",NOTA[[#This Row],[JUMLAH]]-NOTA[[#This Row],[DISC]])</f>
        <v>12960000</v>
      </c>
      <c r="AB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6" s="46">
        <f>IF(OR(NOTA[[#This Row],[QTY]]="",NOTA[[#This Row],[HARGA SATUAN]]="",),"",NOTA[[#This Row],[QTY]]*NOTA[[#This Row],[HARGA SATUAN]])</f>
        <v>12960000</v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SBS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>
        <f ca="1">IF(NOTA[[#This Row],[NAMA BARANG]]="","",INDEX(NOTA[ID],MATCH(,INDIRECT(ADDRESS(ROW(NOTA[ID]),COLUMN(NOTA[ID]))&amp;":"&amp;ADDRESS(ROW(),COLUMN(NOTA[ID]))),-1)))</f>
        <v>113</v>
      </c>
      <c r="E497" s="51"/>
      <c r="F497" s="31"/>
      <c r="G497" s="31"/>
      <c r="H497" s="33"/>
      <c r="I497" s="42"/>
      <c r="J497" s="44"/>
      <c r="K497" s="42"/>
      <c r="L497" s="31" t="s">
        <v>659</v>
      </c>
      <c r="M497" s="45">
        <v>10</v>
      </c>
      <c r="N497" s="42">
        <v>1200</v>
      </c>
      <c r="O497" s="31" t="s">
        <v>287</v>
      </c>
      <c r="P497" s="40">
        <v>10800</v>
      </c>
      <c r="Q497" s="162"/>
      <c r="R497" s="35" t="s">
        <v>653</v>
      </c>
      <c r="S497" s="47"/>
      <c r="T497" s="47"/>
      <c r="U497" s="46"/>
      <c r="V497" s="88" t="s">
        <v>661</v>
      </c>
      <c r="W497" s="46">
        <f>IF(NOTA[[#This Row],[HARGA/ CTN]]="",NOTA[[#This Row],[JUMLAH_H]],NOTA[[#This Row],[HARGA/ CTN]]*NOTA[[#This Row],[C]])</f>
        <v>12960000</v>
      </c>
      <c r="X497" s="46">
        <f>IF(NOTA[[#This Row],[JUMLAH]]="","",NOTA[[#This Row],[JUMLAH]]*NOTA[[#This Row],[DISC 1]])</f>
        <v>0</v>
      </c>
      <c r="Y497" s="46">
        <f>IF(NOTA[[#This Row],[JUMLAH]]="","",(NOTA[[#This Row],[JUMLAH]]-NOTA[[#This Row],[DISC 1-]])*NOTA[[#This Row],[DISC 2]])</f>
        <v>0</v>
      </c>
      <c r="Z497" s="46">
        <f>IF(NOTA[[#This Row],[JUMLAH]]="","",NOTA[[#This Row],[DISC 1-]]+NOTA[[#This Row],[DISC 2-]])</f>
        <v>0</v>
      </c>
      <c r="AA497" s="46">
        <f>IF(NOTA[[#This Row],[JUMLAH]]="","",NOTA[[#This Row],[JUMLAH]]-NOTA[[#This Row],[DISC]])</f>
        <v>12960000</v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7" s="46">
        <f>IF(OR(NOTA[[#This Row],[QTY]]="",NOTA[[#This Row],[HARGA SATUAN]]="",),"",NOTA[[#This Row],[QTY]]*NOTA[[#This Row],[HARGA SATUAN]])</f>
        <v>12960000</v>
      </c>
      <c r="AF497" s="44">
        <f ca="1">IF(NOTA[ID_H]="","",INDEX(NOTA[TANGGAL],MATCH(,INDIRECT(ADDRESS(ROW(NOTA[TANGGAL]),COLUMN(NOTA[TANGGAL]))&amp;":"&amp;ADDRESS(ROW(),COLUMN(NOTA[TANGGAL]))),-1)))</f>
        <v>44862</v>
      </c>
      <c r="AG497" s="40" t="str">
        <f ca="1">IF(NOTA[[#This Row],[NAMA BARANG]]="","",INDEX(NOTA[SUPPLIER],MATCH(,INDIRECT(ADDRESS(ROW(NOTA[ID]),COLUMN(NOTA[ID]))&amp;":"&amp;ADDRESS(ROW(),COLUMN(NOTA[ID]))),-1)))</f>
        <v>SBS</v>
      </c>
      <c r="AH497" s="16" t="str">
        <f ca="1">IF(NOTA[[#This Row],[ID]]="","",COUNTIF(NOTA[ID_H],NOTA[[#This Row],[ID_H]]))</f>
        <v/>
      </c>
      <c r="AI497" s="16">
        <f ca="1">IF(NOTA[[#This Row],[TGL.NOTA]]="",IF(NOTA[[#This Row],[SUPPLIER_H]]="","",AI496),MONTH(NOTA[[#This Row],[TGL.NOTA]]))</f>
        <v>10</v>
      </c>
      <c r="AJ497" s="16"/>
    </row>
    <row r="498" spans="1:36" ht="20.100000000000001" customHeight="1" x14ac:dyDescent="0.25">
      <c r="A49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1" t="str">
        <f>IF(NOTA[[#This Row],[ID_P]]="","",MATCH(NOTA[[#This Row],[ID_P]],[1]!B_MSK[N_ID],0))</f>
        <v/>
      </c>
      <c r="D498" s="41">
        <f ca="1">IF(NOTA[[#This Row],[NAMA BARANG]]="","",INDEX(NOTA[ID],MATCH(,INDIRECT(ADDRESS(ROW(NOTA[ID]),COLUMN(NOTA[ID]))&amp;":"&amp;ADDRESS(ROW(),COLUMN(NOTA[ID]))),-1)))</f>
        <v>113</v>
      </c>
      <c r="E498" s="51"/>
      <c r="F498" s="31"/>
      <c r="G498" s="31"/>
      <c r="H498" s="33"/>
      <c r="I498" s="42"/>
      <c r="J498" s="44"/>
      <c r="K498" s="42"/>
      <c r="L498" s="31" t="s">
        <v>660</v>
      </c>
      <c r="M498" s="45">
        <v>10</v>
      </c>
      <c r="N498" s="42">
        <v>1200</v>
      </c>
      <c r="O498" s="31" t="s">
        <v>287</v>
      </c>
      <c r="P498" s="40">
        <v>10800</v>
      </c>
      <c r="Q498" s="162"/>
      <c r="R498" s="35" t="s">
        <v>653</v>
      </c>
      <c r="S498" s="47"/>
      <c r="T498" s="47"/>
      <c r="U498" s="46"/>
      <c r="V498" s="88" t="s">
        <v>661</v>
      </c>
      <c r="W498" s="46">
        <f>IF(NOTA[[#This Row],[HARGA/ CTN]]="",NOTA[[#This Row],[JUMLAH_H]],NOTA[[#This Row],[HARGA/ CTN]]*NOTA[[#This Row],[C]])</f>
        <v>12960000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12960000</v>
      </c>
      <c r="AB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498" s="46">
        <f>IF(OR(NOTA[[#This Row],[QTY]]="",NOTA[[#This Row],[HARGA SATUAN]]="",),"",NOTA[[#This Row],[QTY]]*NOTA[[#This Row],[HARGA SATUAN]])</f>
        <v>12960000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>
        <f ca="1"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 t="str">
        <f ca="1">IF(NOTA[[#This Row],[NAMA BARANG]]="","",INDEX(NOTA[ID],MATCH(,INDIRECT(ADDRESS(ROW(NOTA[ID]),COLUMN(NOTA[ID]))&amp;":"&amp;ADDRESS(ROW(),COLUMN(NOTA[ID]))),-1)))</f>
        <v/>
      </c>
      <c r="E499" s="51"/>
      <c r="F499" s="31"/>
      <c r="G499" s="31"/>
      <c r="H499" s="33"/>
      <c r="I499" s="42"/>
      <c r="J499" s="44"/>
      <c r="K499" s="42"/>
      <c r="L499" s="31"/>
      <c r="M499" s="45"/>
      <c r="N499" s="42"/>
      <c r="O499" s="31"/>
      <c r="P499" s="40"/>
      <c r="Q499" s="162"/>
      <c r="R499" s="35"/>
      <c r="S499" s="47"/>
      <c r="T499" s="47"/>
      <c r="U499" s="46"/>
      <c r="V499" s="87"/>
      <c r="W499" s="46" t="str">
        <f>IF(NOTA[[#This Row],[HARGA/ CTN]]="",NOTA[[#This Row],[JUMLAH_H]],NOTA[[#This Row],[HARGA/ CTN]]*NOTA[[#This Row],[C]])</f>
        <v/>
      </c>
      <c r="X499" s="46" t="str">
        <f>IF(NOTA[[#This Row],[JUMLAH]]="","",NOTA[[#This Row],[JUMLAH]]*NOTA[[#This Row],[DISC 1]])</f>
        <v/>
      </c>
      <c r="Y499" s="46" t="str">
        <f>IF(NOTA[[#This Row],[JUMLAH]]="","",(NOTA[[#This Row],[JUMLAH]]-NOTA[[#This Row],[DISC 1-]])*NOTA[[#This Row],[DISC 2]])</f>
        <v/>
      </c>
      <c r="Z499" s="46" t="str">
        <f>IF(NOTA[[#This Row],[JUMLAH]]="","",NOTA[[#This Row],[DISC 1-]]+NOTA[[#This Row],[DISC 2-]])</f>
        <v/>
      </c>
      <c r="AA499" s="46" t="str">
        <f>IF(NOTA[[#This Row],[JUMLAH]]="","",NOTA[[#This Row],[JUMLAH]]-NOTA[[#This Row],[DISC]])</f>
        <v/>
      </c>
      <c r="AB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6" t="str">
        <f>IF(OR(NOTA[[#This Row],[QTY]]="",NOTA[[#This Row],[HARGA SATUAN]]="",),"",NOTA[[#This Row],[QTY]]*NOTA[[#This Row],[HARGA SATUAN]])</f>
        <v/>
      </c>
      <c r="AF499" s="44" t="str">
        <f ca="1">IF(NOTA[ID_H]="","",INDEX(NOTA[TANGGAL],MATCH(,INDIRECT(ADDRESS(ROW(NOTA[TANGGAL]),COLUMN(NOTA[TANGGAL]))&amp;":"&amp;ADDRESS(ROW(),COLUMN(NOTA[TANGGAL]))),-1)))</f>
        <v/>
      </c>
      <c r="AG499" s="4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 t="str">
        <f ca="1">IF(NOTA[[#This Row],[TGL.NOTA]]="",IF(NOTA[[#This Row],[SUPPLIER_H]]="","",AI498),MONTH(NOTA[[#This Row],[TGL.NOTA]]))</f>
        <v/>
      </c>
      <c r="AJ499" s="16"/>
    </row>
    <row r="500" spans="1:36" ht="20.100000000000001" customHeight="1" x14ac:dyDescent="0.25">
      <c r="A500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00" s="41" t="e">
        <f ca="1">IF(NOTA[[#This Row],[ID_P]]="","",MATCH(NOTA[[#This Row],[ID_P]],[1]!B_MSK[N_ID],0))</f>
        <v>#REF!</v>
      </c>
      <c r="D500" s="41">
        <f ca="1">IF(NOTA[[#This Row],[NAMA BARANG]]="","",INDEX(NOTA[ID],MATCH(,INDIRECT(ADDRESS(ROW(NOTA[ID]),COLUMN(NOTA[ID]))&amp;":"&amp;ADDRESS(ROW(),COLUMN(NOTA[ID]))),-1)))</f>
        <v>114</v>
      </c>
      <c r="E500" s="51"/>
      <c r="F500" s="31" t="s">
        <v>560</v>
      </c>
      <c r="G500" s="31" t="s">
        <v>87</v>
      </c>
      <c r="H500" s="33" t="s">
        <v>662</v>
      </c>
      <c r="I500" s="31"/>
      <c r="J500" s="44">
        <v>44851</v>
      </c>
      <c r="K500" s="42"/>
      <c r="L500" s="31" t="s">
        <v>663</v>
      </c>
      <c r="M500" s="45">
        <v>10</v>
      </c>
      <c r="N500" s="42">
        <v>1200</v>
      </c>
      <c r="O500" s="31" t="s">
        <v>287</v>
      </c>
      <c r="P500" s="40">
        <v>10800</v>
      </c>
      <c r="Q500" s="162"/>
      <c r="R500" s="35" t="s">
        <v>653</v>
      </c>
      <c r="S500" s="47"/>
      <c r="T500" s="47"/>
      <c r="U500" s="46"/>
      <c r="V500" s="88" t="s">
        <v>661</v>
      </c>
      <c r="W500" s="46">
        <f>IF(NOTA[[#This Row],[HARGA/ CTN]]="",NOTA[[#This Row],[JUMLAH_H]],NOTA[[#This Row],[HARGA/ CTN]]*NOTA[[#This Row],[C]])</f>
        <v>12960000</v>
      </c>
      <c r="X500" s="46">
        <f>IF(NOTA[[#This Row],[JUMLAH]]="","",NOTA[[#This Row],[JUMLAH]]*NOTA[[#This Row],[DISC 1]])</f>
        <v>0</v>
      </c>
      <c r="Y500" s="46">
        <f>IF(NOTA[[#This Row],[JUMLAH]]="","",(NOTA[[#This Row],[JUMLAH]]-NOTA[[#This Row],[DISC 1-]])*NOTA[[#This Row],[DISC 2]])</f>
        <v>0</v>
      </c>
      <c r="Z500" s="46">
        <f>IF(NOTA[[#This Row],[JUMLAH]]="","",NOTA[[#This Row],[DISC 1-]]+NOTA[[#This Row],[DISC 2-]])</f>
        <v>0</v>
      </c>
      <c r="AA500" s="46">
        <f>IF(NOTA[[#This Row],[JUMLAH]]="","",NOTA[[#This Row],[JUMLAH]]-NOTA[[#This Row],[DISC]])</f>
        <v>12960000</v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0" s="46">
        <f>IF(OR(NOTA[[#This Row],[QTY]]="",NOTA[[#This Row],[HARGA SATUAN]]="",),"",NOTA[[#This Row],[QTY]]*NOTA[[#This Row],[HARGA SATUAN]])</f>
        <v>12960000</v>
      </c>
      <c r="AF500" s="44">
        <f ca="1">IF(NOTA[ID_H]="","",INDEX(NOTA[TANGGAL],MATCH(,INDIRECT(ADDRESS(ROW(NOTA[TANGGAL]),COLUMN(NOTA[TANGGAL]))&amp;":"&amp;ADDRESS(ROW(),COLUMN(NOTA[TANGGAL]))),-1)))</f>
        <v>44862</v>
      </c>
      <c r="AG500" s="40" t="str">
        <f ca="1">IF(NOTA[[#This Row],[NAMA BARANG]]="","",INDEX(NOTA[SUPPLIER],MATCH(,INDIRECT(ADDRESS(ROW(NOTA[ID]),COLUMN(NOTA[ID]))&amp;":"&amp;ADDRESS(ROW(),COLUMN(NOTA[ID]))),-1)))</f>
        <v>SBS</v>
      </c>
      <c r="AH500" s="16">
        <f ca="1">IF(NOTA[[#This Row],[ID]]="","",COUNTIF(NOTA[ID_H],NOTA[[#This Row],[ID_H]]))</f>
        <v>2</v>
      </c>
      <c r="AI500" s="16">
        <f>IF(NOTA[[#This Row],[TGL.NOTA]]="",IF(NOTA[[#This Row],[SUPPLIER_H]]="","",AI499),MONTH(NOTA[[#This Row],[TGL.NOTA]]))</f>
        <v>10</v>
      </c>
      <c r="AJ500" s="16"/>
    </row>
    <row r="501" spans="1:36" ht="20.100000000000001" customHeight="1" x14ac:dyDescent="0.25">
      <c r="A50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1" t="str">
        <f>IF(NOTA[[#This Row],[ID_P]]="","",MATCH(NOTA[[#This Row],[ID_P]],[1]!B_MSK[N_ID],0))</f>
        <v/>
      </c>
      <c r="D501" s="41">
        <f ca="1">IF(NOTA[[#This Row],[NAMA BARANG]]="","",INDEX(NOTA[ID],MATCH(,INDIRECT(ADDRESS(ROW(NOTA[ID]),COLUMN(NOTA[ID]))&amp;":"&amp;ADDRESS(ROW(),COLUMN(NOTA[ID]))),-1)))</f>
        <v>114</v>
      </c>
      <c r="E501" s="51"/>
      <c r="F501" s="48"/>
      <c r="G501" s="48"/>
      <c r="H501" s="49"/>
      <c r="I501" s="48"/>
      <c r="J501" s="50"/>
      <c r="K501" s="42"/>
      <c r="L501" s="31" t="s">
        <v>664</v>
      </c>
      <c r="M501" s="45">
        <v>10</v>
      </c>
      <c r="N501" s="42">
        <v>1200</v>
      </c>
      <c r="O501" s="31" t="s">
        <v>287</v>
      </c>
      <c r="P501" s="40">
        <v>10800</v>
      </c>
      <c r="Q501" s="162"/>
      <c r="R501" s="35" t="s">
        <v>653</v>
      </c>
      <c r="S501" s="47"/>
      <c r="T501" s="47"/>
      <c r="U501" s="46"/>
      <c r="V501" s="88" t="s">
        <v>661</v>
      </c>
      <c r="W501" s="46">
        <f>IF(NOTA[[#This Row],[HARGA/ CTN]]="",NOTA[[#This Row],[JUMLAH_H]],NOTA[[#This Row],[HARGA/ CTN]]*NOTA[[#This Row],[C]])</f>
        <v>12960000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12960000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01" s="46">
        <f>IF(OR(NOTA[[#This Row],[QTY]]="",NOTA[[#This Row],[HARGA SATUAN]]="",),"",NOTA[[#This Row],[QTY]]*NOTA[[#This Row],[HARGA SATUAN]])</f>
        <v>12960000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SBS</v>
      </c>
      <c r="AH501" s="16" t="str">
        <f ca="1">IF(NOTA[[#This Row],[ID]]="","",COUNTIF(NOTA[ID_H],NOTA[[#This Row],[ID_H]]))</f>
        <v/>
      </c>
      <c r="AI501" s="16">
        <f ca="1"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51"/>
      <c r="F502" s="31"/>
      <c r="G502" s="31"/>
      <c r="H502" s="33"/>
      <c r="I502" s="42"/>
      <c r="J502" s="44"/>
      <c r="K502" s="42"/>
      <c r="L502" s="31"/>
      <c r="M502" s="45"/>
      <c r="N502" s="42"/>
      <c r="O502" s="31"/>
      <c r="P502" s="40"/>
      <c r="Q502" s="162"/>
      <c r="R502" s="35"/>
      <c r="S502" s="47"/>
      <c r="T502" s="47"/>
      <c r="U502" s="46"/>
      <c r="V502" s="87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115</v>
      </c>
      <c r="E503" s="51"/>
      <c r="F503" s="31" t="s">
        <v>264</v>
      </c>
      <c r="G503" s="31" t="s">
        <v>87</v>
      </c>
      <c r="H503" s="33" t="s">
        <v>665</v>
      </c>
      <c r="I503" s="42"/>
      <c r="J503" s="44">
        <v>44862</v>
      </c>
      <c r="K503" s="42"/>
      <c r="L503" s="31" t="s">
        <v>669</v>
      </c>
      <c r="M503" s="45">
        <v>1</v>
      </c>
      <c r="N503" s="42">
        <v>8</v>
      </c>
      <c r="O503" s="31" t="s">
        <v>210</v>
      </c>
      <c r="P503" s="40">
        <v>273000</v>
      </c>
      <c r="Q503" s="162"/>
      <c r="R503" s="35" t="s">
        <v>666</v>
      </c>
      <c r="S503" s="47"/>
      <c r="T503" s="47"/>
      <c r="U503" s="46"/>
      <c r="V503" s="87" t="s">
        <v>667</v>
      </c>
      <c r="W503" s="46">
        <f>IF(NOTA[[#This Row],[HARGA/ CTN]]="",NOTA[[#This Row],[JUMLAH_H]],NOTA[[#This Row],[HARGA/ CTN]]*NOTA[[#This Row],[C]])</f>
        <v>2184000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2184000</v>
      </c>
      <c r="AB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03" s="46">
        <f>IF(OR(NOTA[[#This Row],[QTY]]="",NOTA[[#This Row],[HARGA SATUAN]]="",),"",NOTA[[#This Row],[QTY]]*NOTA[[#This Row],[HARGA SATUAN]])</f>
        <v>2184000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COMBI</v>
      </c>
      <c r="AH503" s="16">
        <f ca="1">IF(NOTA[[#This Row],[ID]]="","",COUNTIF(NOTA[ID_H],NOTA[[#This Row],[ID_H]]))</f>
        <v>1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 t="str">
        <f ca="1">IF(NOTA[[#This Row],[NAMA BARANG]]="","",INDEX(NOTA[ID],MATCH(,INDIRECT(ADDRESS(ROW(NOTA[ID]),COLUMN(NOTA[ID]))&amp;":"&amp;ADDRESS(ROW(),COLUMN(NOTA[ID]))),-1)))</f>
        <v/>
      </c>
      <c r="E504" s="51"/>
      <c r="F504" s="31"/>
      <c r="G504" s="31"/>
      <c r="H504" s="33"/>
      <c r="I504" s="42"/>
      <c r="J504" s="44"/>
      <c r="K504" s="42"/>
      <c r="L504" s="31"/>
      <c r="M504" s="45"/>
      <c r="N504" s="42"/>
      <c r="O504" s="31"/>
      <c r="P504" s="40"/>
      <c r="Q504" s="162"/>
      <c r="R504" s="35"/>
      <c r="S504" s="47"/>
      <c r="T504" s="47"/>
      <c r="U504" s="46"/>
      <c r="V504" s="87"/>
      <c r="W504" s="46" t="str">
        <f>IF(NOTA[[#This Row],[HARGA/ CTN]]="",NOTA[[#This Row],[JUMLAH_H]],NOTA[[#This Row],[HARGA/ CTN]]*NOTA[[#This Row],[C]])</f>
        <v/>
      </c>
      <c r="X504" s="46" t="str">
        <f>IF(NOTA[[#This Row],[JUMLAH]]="","",NOTA[[#This Row],[JUMLAH]]*NOTA[[#This Row],[DISC 1]])</f>
        <v/>
      </c>
      <c r="Y504" s="46" t="str">
        <f>IF(NOTA[[#This Row],[JUMLAH]]="","",(NOTA[[#This Row],[JUMLAH]]-NOTA[[#This Row],[DISC 1-]])*NOTA[[#This Row],[DISC 2]])</f>
        <v/>
      </c>
      <c r="Z504" s="46" t="str">
        <f>IF(NOTA[[#This Row],[JUMLAH]]="","",NOTA[[#This Row],[DISC 1-]]+NOTA[[#This Row],[DISC 2-]])</f>
        <v/>
      </c>
      <c r="AA504" s="46" t="str">
        <f>IF(NOTA[[#This Row],[JUMLAH]]="","",NOTA[[#This Row],[JUMLAH]]-NOTA[[#This Row],[DISC]])</f>
        <v/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46" t="str">
        <f>IF(OR(NOTA[[#This Row],[QTY]]="",NOTA[[#This Row],[HARGA SATUAN]]="",),"",NOTA[[#This Row],[QTY]]*NOTA[[#This Row],[HARGA SATUAN]])</f>
        <v/>
      </c>
      <c r="AF504" s="44" t="str">
        <f ca="1">IF(NOTA[ID_H]="","",INDEX(NOTA[TANGGAL],MATCH(,INDIRECT(ADDRESS(ROW(NOTA[TANGGAL]),COLUMN(NOTA[TANGGAL]))&amp;":"&amp;ADDRESS(ROW(),COLUMN(NOTA[TANGGAL]))),-1)))</f>
        <v/>
      </c>
      <c r="AG504" s="40" t="str">
        <f ca="1">IF(NOTA[[#This Row],[NAMA BARANG]]="","",INDEX(NOTA[SUPPLIER],MATCH(,INDIRECT(ADDRESS(ROW(NOTA[ID]),COLUMN(NOTA[ID]))&amp;":"&amp;ADDRESS(ROW(),COLUMN(NOTA[ID]))),-1)))</f>
        <v/>
      </c>
      <c r="AH504" s="16" t="str">
        <f ca="1">IF(NOTA[[#This Row],[ID]]="","",COUNTIF(NOTA[ID_H],NOTA[[#This Row],[ID_H]]))</f>
        <v/>
      </c>
      <c r="AI504" s="16" t="str">
        <f ca="1">IF(NOTA[[#This Row],[TGL.NOTA]]="",IF(NOTA[[#This Row],[SUPPLIER_H]]="","",AI503),MONTH(NOTA[[#This Row],[TGL.NOTA]]))</f>
        <v/>
      </c>
      <c r="AJ504" s="16"/>
    </row>
    <row r="505" spans="1:36" ht="20.100000000000001" customHeight="1" x14ac:dyDescent="0.25">
      <c r="A505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05" s="41" t="e">
        <f ca="1">IF(NOTA[[#This Row],[ID_P]]="","",MATCH(NOTA[[#This Row],[ID_P]],[1]!B_MSK[N_ID],0))</f>
        <v>#REF!</v>
      </c>
      <c r="D505" s="41">
        <f ca="1">IF(NOTA[[#This Row],[NAMA BARANG]]="","",INDEX(NOTA[ID],MATCH(,INDIRECT(ADDRESS(ROW(NOTA[ID]),COLUMN(NOTA[ID]))&amp;":"&amp;ADDRESS(ROW(),COLUMN(NOTA[ID]))),-1)))</f>
        <v>116</v>
      </c>
      <c r="E505" s="51">
        <v>44863</v>
      </c>
      <c r="F505" s="31" t="s">
        <v>23</v>
      </c>
      <c r="G505" s="31" t="s">
        <v>24</v>
      </c>
      <c r="H505" s="33" t="s">
        <v>691</v>
      </c>
      <c r="I505" s="31" t="s">
        <v>684</v>
      </c>
      <c r="J505" s="44">
        <v>44859</v>
      </c>
      <c r="K505" s="42"/>
      <c r="L505" s="31" t="s">
        <v>84</v>
      </c>
      <c r="M505" s="45">
        <v>3</v>
      </c>
      <c r="N505" s="42"/>
      <c r="O505" s="42"/>
      <c r="P505" s="40"/>
      <c r="Q505" s="162">
        <v>5616000</v>
      </c>
      <c r="R505" s="35" t="s">
        <v>102</v>
      </c>
      <c r="S505" s="37">
        <v>0.17</v>
      </c>
      <c r="T505" s="47"/>
      <c r="U505" s="46"/>
      <c r="V505" s="87"/>
      <c r="W505" s="46">
        <f>IF(NOTA[[#This Row],[HARGA/ CTN]]="",NOTA[[#This Row],[JUMLAH_H]],NOTA[[#This Row],[HARGA/ CTN]]*NOTA[[#This Row],[C]])</f>
        <v>16848000</v>
      </c>
      <c r="X505" s="46">
        <f>IF(NOTA[[#This Row],[JUMLAH]]="","",NOTA[[#This Row],[JUMLAH]]*NOTA[[#This Row],[DISC 1]])</f>
        <v>2864160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2864160</v>
      </c>
      <c r="AA505" s="46">
        <f>IF(NOTA[[#This Row],[JUMLAH]]="","",NOTA[[#This Row],[JUMLAH]]-NOTA[[#This Row],[DISC]])</f>
        <v>13983840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5" s="46" t="str">
        <f>IF(OR(NOTA[[#This Row],[QTY]]="",NOTA[[#This Row],[HARGA SATUAN]]="",),"",NOTA[[#This Row],[QTY]]*NOTA[[#This Row],[HARGA SATUAN]])</f>
        <v/>
      </c>
      <c r="AF505" s="44">
        <f ca="1">IF(NOTA[ID_H]="","",INDEX(NOTA[TANGGAL],MATCH(,INDIRECT(ADDRESS(ROW(NOTA[TANGGAL]),COLUMN(NOTA[TANGGAL]))&amp;":"&amp;ADDRESS(ROW(),COLUMN(NOTA[TANGGAL]))),-1)))</f>
        <v>44863</v>
      </c>
      <c r="AG505" s="40" t="str">
        <f ca="1">IF(NOTA[[#This Row],[NAMA BARANG]]="","",INDEX(NOTA[SUPPLIER],MATCH(,INDIRECT(ADDRESS(ROW(NOTA[ID]),COLUMN(NOTA[ID]))&amp;":"&amp;ADDRESS(ROW(),COLUMN(NOTA[ID]))),-1)))</f>
        <v>KENKO SINAR INDONESIA</v>
      </c>
      <c r="AH505" s="16">
        <f ca="1">IF(NOTA[[#This Row],[ID]]="","",COUNTIF(NOTA[ID_H],NOTA[[#This Row],[ID_H]]))</f>
        <v>7</v>
      </c>
      <c r="AI505" s="16">
        <f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116</v>
      </c>
      <c r="E506" s="51"/>
      <c r="F506" s="31"/>
      <c r="G506" s="31"/>
      <c r="H506" s="33"/>
      <c r="I506" s="42"/>
      <c r="J506" s="34"/>
      <c r="K506" s="42"/>
      <c r="L506" s="31" t="s">
        <v>685</v>
      </c>
      <c r="M506" s="45">
        <v>1</v>
      </c>
      <c r="N506" s="42"/>
      <c r="O506" s="31"/>
      <c r="P506" s="40"/>
      <c r="Q506" s="162">
        <v>741600</v>
      </c>
      <c r="R506" s="35" t="s">
        <v>686</v>
      </c>
      <c r="S506" s="47">
        <v>0.17</v>
      </c>
      <c r="T506" s="47"/>
      <c r="U506" s="46"/>
      <c r="V506" s="87"/>
      <c r="W506" s="46">
        <f>IF(NOTA[[#This Row],[HARGA/ CTN]]="",NOTA[[#This Row],[JUMLAH_H]],NOTA[[#This Row],[HARGA/ CTN]]*NOTA[[#This Row],[C]])</f>
        <v>741600</v>
      </c>
      <c r="X506" s="46">
        <f>IF(NOTA[[#This Row],[JUMLAH]]="","",NOTA[[#This Row],[JUMLAH]]*NOTA[[#This Row],[DISC 1]])</f>
        <v>126072.00000000001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126072.00000000001</v>
      </c>
      <c r="AA506" s="46">
        <f>IF(NOTA[[#This Row],[JUMLAH]]="","",NOTA[[#This Row],[JUMLAH]]-NOTA[[#This Row],[DISC]])</f>
        <v>615528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06" s="46" t="str">
        <f>IF(OR(NOTA[[#This Row],[QTY]]="",NOTA[[#This Row],[HARGA SATUAN]]="",),"",NOTA[[#This Row],[QTY]]*NOTA[[#This Row],[HARGA SATUAN]])</f>
        <v/>
      </c>
      <c r="AF506" s="44">
        <f ca="1">IF(NOTA[ID_H]="","",INDEX(NOTA[TANGGAL],MATCH(,INDIRECT(ADDRESS(ROW(NOTA[TANGGAL]),COLUMN(NOTA[TANGGAL]))&amp;":"&amp;ADDRESS(ROW(),COLUMN(NOTA[TANGGAL]))),-1)))</f>
        <v>44863</v>
      </c>
      <c r="AG506" s="40" t="str">
        <f ca="1">IF(NOTA[[#This Row],[NAMA BARANG]]="","",INDEX(NOTA[SUPPLIER],MATCH(,INDIRECT(ADDRESS(ROW(NOTA[ID]),COLUMN(NOTA[ID]))&amp;":"&amp;ADDRESS(ROW(),COLUMN(NOTA[ID]))),-1)))</f>
        <v>KENKO SINAR INDONESIA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116</v>
      </c>
      <c r="E507" s="51"/>
      <c r="F507" s="31"/>
      <c r="G507" s="31"/>
      <c r="H507" s="33"/>
      <c r="I507" s="42"/>
      <c r="J507" s="44"/>
      <c r="K507" s="42"/>
      <c r="L507" s="31" t="s">
        <v>687</v>
      </c>
      <c r="M507" s="45">
        <v>2</v>
      </c>
      <c r="N507" s="42"/>
      <c r="O507" s="31"/>
      <c r="P507" s="40"/>
      <c r="Q507" s="162">
        <v>1497600</v>
      </c>
      <c r="R507" s="35" t="s">
        <v>115</v>
      </c>
      <c r="S507" s="47">
        <v>0.17</v>
      </c>
      <c r="T507" s="47"/>
      <c r="U507" s="46"/>
      <c r="V507" s="87"/>
      <c r="W507" s="46">
        <f>IF(NOTA[[#This Row],[HARGA/ CTN]]="",NOTA[[#This Row],[JUMLAH_H]],NOTA[[#This Row],[HARGA/ CTN]]*NOTA[[#This Row],[C]])</f>
        <v>2995200</v>
      </c>
      <c r="X507" s="46">
        <f>IF(NOTA[[#This Row],[JUMLAH]]="","",NOTA[[#This Row],[JUMLAH]]*NOTA[[#This Row],[DISC 1]])</f>
        <v>509184.00000000006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509184.00000000006</v>
      </c>
      <c r="AA507" s="46">
        <f>IF(NOTA[[#This Row],[JUMLAH]]="","",NOTA[[#This Row],[JUMLAH]]-NOTA[[#This Row],[DISC]])</f>
        <v>2486016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07" s="46" t="str">
        <f>IF(OR(NOTA[[#This Row],[QTY]]="",NOTA[[#This Row],[HARGA SATUAN]]="",),"",NOTA[[#This Row],[QTY]]*NOTA[[#This Row],[HARGA SATUAN]])</f>
        <v/>
      </c>
      <c r="AF507" s="44">
        <f ca="1">IF(NOTA[ID_H]="","",INDEX(NOTA[TANGGAL],MATCH(,INDIRECT(ADDRESS(ROW(NOTA[TANGGAL]),COLUMN(NOTA[TANGGAL]))&amp;":"&amp;ADDRESS(ROW(),COLUMN(NOTA[TANGGAL]))),-1)))</f>
        <v>44863</v>
      </c>
      <c r="AG507" s="40" t="str">
        <f ca="1">IF(NOTA[[#This Row],[NAMA BARANG]]="","",INDEX(NOTA[SUPPLIER],MATCH(,INDIRECT(ADDRESS(ROW(NOTA[ID]),COLUMN(NOTA[ID]))&amp;":"&amp;ADDRESS(ROW(),COLUMN(NOTA[ID]))),-1)))</f>
        <v>KENKO SINAR INDONESIA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116</v>
      </c>
      <c r="E508" s="51"/>
      <c r="F508" s="31"/>
      <c r="G508" s="31"/>
      <c r="H508" s="33"/>
      <c r="I508" s="31" t="s">
        <v>692</v>
      </c>
      <c r="J508" s="44"/>
      <c r="K508" s="42"/>
      <c r="L508" s="31" t="s">
        <v>157</v>
      </c>
      <c r="M508" s="45">
        <v>1</v>
      </c>
      <c r="N508" s="42"/>
      <c r="O508" s="31"/>
      <c r="P508" s="40"/>
      <c r="Q508" s="162">
        <v>1245000</v>
      </c>
      <c r="R508" s="35" t="s">
        <v>158</v>
      </c>
      <c r="S508" s="47">
        <v>0.17</v>
      </c>
      <c r="T508" s="47"/>
      <c r="U508" s="46"/>
      <c r="V508" s="87"/>
      <c r="W508" s="46">
        <f>IF(NOTA[[#This Row],[HARGA/ CTN]]="",NOTA[[#This Row],[JUMLAH_H]],NOTA[[#This Row],[HARGA/ CTN]]*NOTA[[#This Row],[C]])</f>
        <v>1245000</v>
      </c>
      <c r="X508" s="46">
        <f>IF(NOTA[[#This Row],[JUMLAH]]="","",NOTA[[#This Row],[JUMLAH]]*NOTA[[#This Row],[DISC 1]])</f>
        <v>211650.00000000003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211650.00000000003</v>
      </c>
      <c r="AA508" s="46">
        <f>IF(NOTA[[#This Row],[JUMLAH]]="","",NOTA[[#This Row],[JUMLAH]]-NOTA[[#This Row],[DISC]])</f>
        <v>1033350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08" s="46" t="str">
        <f>IF(OR(NOTA[[#This Row],[QTY]]="",NOTA[[#This Row],[HARGA SATUAN]]="",),"",NOTA[[#This Row],[QTY]]*NOTA[[#This Row],[HARGA SATUAN]])</f>
        <v/>
      </c>
      <c r="AF508" s="44">
        <f ca="1">IF(NOTA[ID_H]="","",INDEX(NOTA[TANGGAL],MATCH(,INDIRECT(ADDRESS(ROW(NOTA[TANGGAL]),COLUMN(NOTA[TANGGAL]))&amp;":"&amp;ADDRESS(ROW(),COLUMN(NOTA[TANGGAL]))),-1)))</f>
        <v>44863</v>
      </c>
      <c r="AG508" s="40" t="str">
        <f ca="1">IF(NOTA[[#This Row],[NAMA BARANG]]="","",INDEX(NOTA[SUPPLIER],MATCH(,INDIRECT(ADDRESS(ROW(NOTA[ID]),COLUMN(NOTA[ID]))&amp;":"&amp;ADDRESS(ROW(),COLUMN(NOTA[ID]))),-1)))</f>
        <v>KENKO SINAR INDONESIA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116</v>
      </c>
      <c r="E509" s="51"/>
      <c r="F509" s="42"/>
      <c r="G509" s="42"/>
      <c r="H509" s="43"/>
      <c r="I509" s="42"/>
      <c r="J509" s="44"/>
      <c r="K509" s="42"/>
      <c r="L509" s="31" t="s">
        <v>688</v>
      </c>
      <c r="M509" s="45">
        <v>2</v>
      </c>
      <c r="N509" s="42"/>
      <c r="O509" s="31"/>
      <c r="P509" s="40"/>
      <c r="Q509" s="162">
        <v>1890000</v>
      </c>
      <c r="R509" s="35" t="s">
        <v>158</v>
      </c>
      <c r="S509" s="47">
        <v>0.17</v>
      </c>
      <c r="T509" s="47"/>
      <c r="U509" s="46"/>
      <c r="V509" s="87"/>
      <c r="W509" s="46">
        <f>IF(NOTA[[#This Row],[HARGA/ CTN]]="",NOTA[[#This Row],[JUMLAH_H]],NOTA[[#This Row],[HARGA/ CTN]]*NOTA[[#This Row],[C]])</f>
        <v>3780000</v>
      </c>
      <c r="X509" s="46">
        <f>IF(NOTA[[#This Row],[JUMLAH]]="","",NOTA[[#This Row],[JUMLAH]]*NOTA[[#This Row],[DISC 1]])</f>
        <v>642600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642600</v>
      </c>
      <c r="AA509" s="46">
        <f>IF(NOTA[[#This Row],[JUMLAH]]="","",NOTA[[#This Row],[JUMLAH]]-NOTA[[#This Row],[DISC]])</f>
        <v>3137400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09" s="46" t="str">
        <f>IF(OR(NOTA[[#This Row],[QTY]]="",NOTA[[#This Row],[HARGA SATUAN]]="",),"",NOTA[[#This Row],[QTY]]*NOTA[[#This Row],[HARGA SATUAN]])</f>
        <v/>
      </c>
      <c r="AF509" s="44">
        <f ca="1">IF(NOTA[ID_H]="","",INDEX(NOTA[TANGGAL],MATCH(,INDIRECT(ADDRESS(ROW(NOTA[TANGGAL]),COLUMN(NOTA[TANGGAL]))&amp;":"&amp;ADDRESS(ROW(),COLUMN(NOTA[TANGGAL]))),-1)))</f>
        <v>44863</v>
      </c>
      <c r="AG509" s="40" t="str">
        <f ca="1">IF(NOTA[[#This Row],[NAMA BARANG]]="","",INDEX(NOTA[SUPPLIER],MATCH(,INDIRECT(ADDRESS(ROW(NOTA[ID]),COLUMN(NOTA[ID]))&amp;":"&amp;ADDRESS(ROW(),COLUMN(NOTA[ID]))),-1)))</f>
        <v>KENKO SINAR INDONESIA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116</v>
      </c>
      <c r="E510" s="51"/>
      <c r="F510" s="31"/>
      <c r="G510" s="31"/>
      <c r="H510" s="33"/>
      <c r="I510" s="31"/>
      <c r="J510" s="44"/>
      <c r="K510" s="42"/>
      <c r="L510" s="31" t="s">
        <v>690</v>
      </c>
      <c r="M510" s="45">
        <v>2</v>
      </c>
      <c r="N510" s="42"/>
      <c r="O510" s="31"/>
      <c r="P510" s="40"/>
      <c r="Q510" s="162">
        <v>1122000</v>
      </c>
      <c r="R510" s="35" t="s">
        <v>161</v>
      </c>
      <c r="S510" s="47">
        <v>0.17</v>
      </c>
      <c r="T510" s="47"/>
      <c r="U510" s="100"/>
      <c r="V510" s="102"/>
      <c r="W510" s="46">
        <f>IF(NOTA[[#This Row],[HARGA/ CTN]]="",NOTA[[#This Row],[JUMLAH_H]],NOTA[[#This Row],[HARGA/ CTN]]*NOTA[[#This Row],[C]])</f>
        <v>2244000</v>
      </c>
      <c r="X510" s="46">
        <f>IF(NOTA[[#This Row],[JUMLAH]]="","",NOTA[[#This Row],[JUMLAH]]*NOTA[[#This Row],[DISC 1]])</f>
        <v>381480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381480</v>
      </c>
      <c r="AA510" s="46">
        <f>IF(NOTA[[#This Row],[JUMLAH]]="","",NOTA[[#This Row],[JUMLAH]]-NOTA[[#This Row],[DISC]])</f>
        <v>1862520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10" s="46" t="str">
        <f>IF(OR(NOTA[[#This Row],[QTY]]="",NOTA[[#This Row],[HARGA SATUAN]]="",),"",NOTA[[#This Row],[QTY]]*NOTA[[#This Row],[HARGA SATUAN]])</f>
        <v/>
      </c>
      <c r="AF510" s="44">
        <f ca="1">IF(NOTA[ID_H]="","",INDEX(NOTA[TANGGAL],MATCH(,INDIRECT(ADDRESS(ROW(NOTA[TANGGAL]),COLUMN(NOTA[TANGGAL]))&amp;":"&amp;ADDRESS(ROW(),COLUMN(NOTA[TANGGAL]))),-1)))</f>
        <v>44863</v>
      </c>
      <c r="AG510" s="40" t="str">
        <f ca="1">IF(NOTA[[#This Row],[NAMA BARANG]]="","",INDEX(NOTA[SUPPLIER],MATCH(,INDIRECT(ADDRESS(ROW(NOTA[ID]),COLUMN(NOTA[ID]))&amp;":"&amp;ADDRESS(ROW(),COLUMN(NOTA[ID]))),-1)))</f>
        <v>KENKO SINAR INDONESIA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116</v>
      </c>
      <c r="E511" s="32"/>
      <c r="F511" s="31"/>
      <c r="G511" s="31"/>
      <c r="H511" s="33"/>
      <c r="I511" s="31"/>
      <c r="J511" s="34"/>
      <c r="K511" s="31"/>
      <c r="L511" s="31" t="s">
        <v>689</v>
      </c>
      <c r="M511" s="35">
        <v>2</v>
      </c>
      <c r="N511" s="31"/>
      <c r="O511" s="31"/>
      <c r="P511" s="30"/>
      <c r="Q511" s="103">
        <v>1260000</v>
      </c>
      <c r="R511" s="35" t="s">
        <v>161</v>
      </c>
      <c r="S511" s="37">
        <v>0.17</v>
      </c>
      <c r="T511" s="37"/>
      <c r="U511" s="36"/>
      <c r="V511" s="87"/>
      <c r="W511" s="36">
        <f>IF(NOTA[[#This Row],[HARGA/ CTN]]="",NOTA[[#This Row],[JUMLAH_H]],NOTA[[#This Row],[HARGA/ CTN]]*NOTA[[#This Row],[C]])</f>
        <v>2520000</v>
      </c>
      <c r="X511" s="36">
        <f>IF(NOTA[[#This Row],[JUMLAH]]="","",NOTA[[#This Row],[JUMLAH]]*NOTA[[#This Row],[DISC 1]])</f>
        <v>428400.00000000006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428400.00000000006</v>
      </c>
      <c r="AA511" s="36">
        <f>IF(NOTA[[#This Row],[JUMLAH]]="","",NOTA[[#This Row],[JUMLAH]]-NOTA[[#This Row],[DISC]])</f>
        <v>2091600</v>
      </c>
      <c r="AB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11" s="36" t="str">
        <f>IF(OR(NOTA[[#This Row],[QTY]]="",NOTA[[#This Row],[HARGA SATUAN]]="",),"",NOTA[[#This Row],[QTY]]*NOTA[[#This Row],[HARGA SATUAN]])</f>
        <v/>
      </c>
      <c r="AF511" s="34">
        <f ca="1">IF(NOTA[ID_H]="","",INDEX(NOTA[TANGGAL],MATCH(,INDIRECT(ADDRESS(ROW(NOTA[TANGGAL]),COLUMN(NOTA[TANGGAL]))&amp;":"&amp;ADDRESS(ROW(),COLUMN(NOTA[TANGGAL]))),-1)))</f>
        <v>44863</v>
      </c>
      <c r="AG511" s="30" t="str">
        <f ca="1">IF(NOTA[[#This Row],[NAMA BARANG]]="","",INDEX(NOTA[SUPPLIER],MATCH(,INDIRECT(ADDRESS(ROW(NOTA[ID]),COLUMN(NOTA[ID]))&amp;":"&amp;ADDRESS(ROW(),COLUMN(NOTA[ID]))),-1)))</f>
        <v>KENKO SINAR INDONESIA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 t="str">
        <f ca="1">IF(NOTA[[#This Row],[NAMA BARANG]]="","",INDEX(NOTA[ID],MATCH(,INDIRECT(ADDRESS(ROW(NOTA[ID]),COLUMN(NOTA[ID]))&amp;":"&amp;ADDRESS(ROW(),COLUMN(NOTA[ID]))),-1)))</f>
        <v/>
      </c>
      <c r="E512" s="32"/>
      <c r="F512" s="31"/>
      <c r="G512" s="31"/>
      <c r="H512" s="33"/>
      <c r="I512" s="31"/>
      <c r="J512" s="34"/>
      <c r="K512" s="31"/>
      <c r="L512" s="31"/>
      <c r="M512" s="35"/>
      <c r="N512" s="31"/>
      <c r="O512" s="31"/>
      <c r="P512" s="30"/>
      <c r="Q512" s="103"/>
      <c r="R512" s="35"/>
      <c r="S512" s="37"/>
      <c r="T512" s="37"/>
      <c r="U512" s="36"/>
      <c r="V512" s="87"/>
      <c r="W512" s="36" t="str">
        <f>IF(NOTA[[#This Row],[HARGA/ CTN]]="",NOTA[[#This Row],[JUMLAH_H]],NOTA[[#This Row],[HARGA/ CTN]]*NOTA[[#This Row],[C]])</f>
        <v/>
      </c>
      <c r="X512" s="36" t="str">
        <f>IF(NOTA[[#This Row],[JUMLAH]]="","",NOTA[[#This Row],[JUMLAH]]*NOTA[[#This Row],[DISC 1]])</f>
        <v/>
      </c>
      <c r="Y512" s="36" t="str">
        <f>IF(NOTA[[#This Row],[JUMLAH]]="","",(NOTA[[#This Row],[JUMLAH]]-NOTA[[#This Row],[DISC 1-]])*NOTA[[#This Row],[DISC 2]])</f>
        <v/>
      </c>
      <c r="Z512" s="36" t="str">
        <f>IF(NOTA[[#This Row],[JUMLAH]]="","",NOTA[[#This Row],[DISC 1-]]+NOTA[[#This Row],[DISC 2-]])</f>
        <v/>
      </c>
      <c r="AA512" s="36" t="str">
        <f>IF(NOTA[[#This Row],[JUMLAH]]="","",NOTA[[#This Row],[JUMLAH]]-NOTA[[#This Row],[DISC]])</f>
        <v/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36" t="str">
        <f>IF(OR(NOTA[[#This Row],[QTY]]="",NOTA[[#This Row],[HARGA SATUAN]]="",),"",NOTA[[#This Row],[QTY]]*NOTA[[#This Row],[HARGA SATUAN]])</f>
        <v/>
      </c>
      <c r="AF512" s="34" t="str">
        <f ca="1">IF(NOTA[ID_H]="","",INDEX(NOTA[TANGGAL],MATCH(,INDIRECT(ADDRESS(ROW(NOTA[TANGGAL]),COLUMN(NOTA[TANGGAL]))&amp;":"&amp;ADDRESS(ROW(),COLUMN(NOTA[TANGGAL]))),-1)))</f>
        <v/>
      </c>
      <c r="AG512" s="30" t="str">
        <f ca="1">IF(NOTA[[#This Row],[NAMA BARANG]]="","",INDEX(NOTA[SUPPLIER],MATCH(,INDIRECT(ADDRESS(ROW(NOTA[ID]),COLUMN(NOTA[ID]))&amp;":"&amp;ADDRESS(ROW(),COLUMN(NOTA[ID]))),-1)))</f>
        <v/>
      </c>
      <c r="AH512" s="16" t="str">
        <f ca="1">IF(NOTA[[#This Row],[ID]]="","",COUNTIF(NOTA[ID_H],NOTA[[#This Row],[ID_H]]))</f>
        <v/>
      </c>
      <c r="AI512" s="16" t="str">
        <f ca="1">IF(NOTA[[#This Row],[TGL.NOTA]]="",IF(NOTA[[#This Row],[SUPPLIER_H]]="","",AI511),MONTH(NOTA[[#This Row],[TGL.NOTA]]))</f>
        <v/>
      </c>
      <c r="AJ512" s="16"/>
    </row>
    <row r="513" spans="1:36" ht="20.100000000000001" customHeight="1" x14ac:dyDescent="0.25">
      <c r="A513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13" s="39" t="e">
        <f ca="1">IF(NOTA[[#This Row],[ID_P]]="","",MATCH(NOTA[[#This Row],[ID_P]],[1]!B_MSK[N_ID],0))</f>
        <v>#REF!</v>
      </c>
      <c r="D513" s="39">
        <f ca="1">IF(NOTA[[#This Row],[NAMA BARANG]]="","",INDEX(NOTA[ID],MATCH(,INDIRECT(ADDRESS(ROW(NOTA[ID]),COLUMN(NOTA[ID]))&amp;":"&amp;ADDRESS(ROW(),COLUMN(NOTA[ID]))),-1)))</f>
        <v>117</v>
      </c>
      <c r="E513" s="32"/>
      <c r="F513" s="31" t="s">
        <v>23</v>
      </c>
      <c r="G513" s="31" t="s">
        <v>24</v>
      </c>
      <c r="H513" s="33" t="s">
        <v>693</v>
      </c>
      <c r="I513" s="31" t="s">
        <v>697</v>
      </c>
      <c r="J513" s="34">
        <v>44861</v>
      </c>
      <c r="K513" s="31"/>
      <c r="L513" s="30" t="s">
        <v>101</v>
      </c>
      <c r="M513" s="35">
        <v>1</v>
      </c>
      <c r="N513" s="31"/>
      <c r="O513" s="31"/>
      <c r="P513" s="30"/>
      <c r="Q513" s="103">
        <v>5702400</v>
      </c>
      <c r="R513" s="35" t="s">
        <v>102</v>
      </c>
      <c r="S513" s="37">
        <v>0.17</v>
      </c>
      <c r="T513" s="37"/>
      <c r="U513" s="36"/>
      <c r="V513" s="87"/>
      <c r="W513" s="36">
        <f>IF(NOTA[[#This Row],[HARGA/ CTN]]="",NOTA[[#This Row],[JUMLAH_H]],NOTA[[#This Row],[HARGA/ CTN]]*NOTA[[#This Row],[C]])</f>
        <v>5702400</v>
      </c>
      <c r="X513" s="36">
        <f>IF(NOTA[[#This Row],[JUMLAH]]="","",NOTA[[#This Row],[JUMLAH]]*NOTA[[#This Row],[DISC 1]])</f>
        <v>969408.00000000012</v>
      </c>
      <c r="Y513" s="36">
        <f>IF(NOTA[[#This Row],[JUMLAH]]="","",(NOTA[[#This Row],[JUMLAH]]-NOTA[[#This Row],[DISC 1-]])*NOTA[[#This Row],[DISC 2]])</f>
        <v>0</v>
      </c>
      <c r="Z513" s="36">
        <f>IF(NOTA[[#This Row],[JUMLAH]]="","",NOTA[[#This Row],[DISC 1-]]+NOTA[[#This Row],[DISC 2-]])</f>
        <v>969408.00000000012</v>
      </c>
      <c r="AA513" s="36">
        <f>IF(NOTA[[#This Row],[JUMLAH]]="","",NOTA[[#This Row],[JUMLAH]]-NOTA[[#This Row],[DISC]])</f>
        <v>4732992</v>
      </c>
      <c r="AB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44863</v>
      </c>
      <c r="AG513" s="30" t="str">
        <f ca="1">IF(NOTA[[#This Row],[NAMA BARANG]]="","",INDEX(NOTA[SUPPLIER],MATCH(,INDIRECT(ADDRESS(ROW(NOTA[ID]),COLUMN(NOTA[ID]))&amp;":"&amp;ADDRESS(ROW(),COLUMN(NOTA[ID]))),-1)))</f>
        <v>KENKO SINAR INDONESIA</v>
      </c>
      <c r="AH513" s="16">
        <f ca="1">IF(NOTA[[#This Row],[ID]]="","",COUNTIF(NOTA[ID_H],NOTA[[#This Row],[ID_H]]))</f>
        <v>9</v>
      </c>
      <c r="AI513" s="16">
        <f>IF(NOTA[[#This Row],[TGL.NOTA]]="",IF(NOTA[[#This Row],[SUPPLIER_H]]="","",AI512),MONTH(NOTA[[#This Row],[TGL.NOTA]]))</f>
        <v>10</v>
      </c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>
        <f ca="1">IF(NOTA[[#This Row],[NAMA BARANG]]="","",INDEX(NOTA[ID],MATCH(,INDIRECT(ADDRESS(ROW(NOTA[ID]),COLUMN(NOTA[ID]))&amp;":"&amp;ADDRESS(ROW(),COLUMN(NOTA[ID]))),-1)))</f>
        <v>117</v>
      </c>
      <c r="E514" s="32"/>
      <c r="F514" s="31"/>
      <c r="G514" s="31"/>
      <c r="H514" s="33"/>
      <c r="I514" s="31"/>
      <c r="J514" s="34"/>
      <c r="K514" s="31"/>
      <c r="L514" s="31" t="s">
        <v>129</v>
      </c>
      <c r="M514" s="35">
        <v>1</v>
      </c>
      <c r="N514" s="31"/>
      <c r="O514" s="31"/>
      <c r="P514" s="30"/>
      <c r="Q514" s="103">
        <v>3542400</v>
      </c>
      <c r="R514" s="35" t="s">
        <v>102</v>
      </c>
      <c r="S514" s="37">
        <v>0.17</v>
      </c>
      <c r="T514" s="37"/>
      <c r="U514" s="36"/>
      <c r="V514" s="87"/>
      <c r="W514" s="36">
        <f>IF(NOTA[[#This Row],[HARGA/ CTN]]="",NOTA[[#This Row],[JUMLAH_H]],NOTA[[#This Row],[HARGA/ CTN]]*NOTA[[#This Row],[C]])</f>
        <v>3542400</v>
      </c>
      <c r="X514" s="36">
        <f>IF(NOTA[[#This Row],[JUMLAH]]="","",NOTA[[#This Row],[JUMLAH]]*NOTA[[#This Row],[DISC 1]])</f>
        <v>602208</v>
      </c>
      <c r="Y514" s="36">
        <f>IF(NOTA[[#This Row],[JUMLAH]]="","",(NOTA[[#This Row],[JUMLAH]]-NOTA[[#This Row],[DISC 1-]])*NOTA[[#This Row],[DISC 2]])</f>
        <v>0</v>
      </c>
      <c r="Z514" s="36">
        <f>IF(NOTA[[#This Row],[JUMLAH]]="","",NOTA[[#This Row],[DISC 1-]]+NOTA[[#This Row],[DISC 2-]])</f>
        <v>602208</v>
      </c>
      <c r="AA514" s="36">
        <f>IF(NOTA[[#This Row],[JUMLAH]]="","",NOTA[[#This Row],[JUMLAH]]-NOTA[[#This Row],[DISC]])</f>
        <v>2940192</v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14" s="36" t="str">
        <f>IF(OR(NOTA[[#This Row],[QTY]]="",NOTA[[#This Row],[HARGA SATUAN]]="",),"",NOTA[[#This Row],[QTY]]*NOTA[[#This Row],[HARGA SATUAN]])</f>
        <v/>
      </c>
      <c r="AF514" s="34">
        <f ca="1">IF(NOTA[ID_H]="","",INDEX(NOTA[TANGGAL],MATCH(,INDIRECT(ADDRESS(ROW(NOTA[TANGGAL]),COLUMN(NOTA[TANGGAL]))&amp;":"&amp;ADDRESS(ROW(),COLUMN(NOTA[TANGGAL]))),-1)))</f>
        <v>44863</v>
      </c>
      <c r="AG514" s="30" t="str">
        <f ca="1">IF(NOTA[[#This Row],[NAMA BARANG]]="","",INDEX(NOTA[SUPPLIER],MATCH(,INDIRECT(ADDRESS(ROW(NOTA[ID]),COLUMN(NOTA[ID]))&amp;":"&amp;ADDRESS(ROW(),COLUMN(NOTA[ID]))),-1)))</f>
        <v>KENKO SINAR INDONESIA</v>
      </c>
      <c r="AH514" s="16" t="str">
        <f ca="1">IF(NOTA[[#This Row],[ID]]="","",COUNTIF(NOTA[ID_H],NOTA[[#This Row],[ID_H]]))</f>
        <v/>
      </c>
      <c r="AI514" s="16">
        <f ca="1"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9" t="str">
        <f>IF(NOTA[[#This Row],[ID_P]]="","",MATCH(NOTA[[#This Row],[ID_P]],[1]!B_MSK[N_ID],0))</f>
        <v/>
      </c>
      <c r="D515" s="39">
        <f ca="1">IF(NOTA[[#This Row],[NAMA BARANG]]="","",INDEX(NOTA[ID],MATCH(,INDIRECT(ADDRESS(ROW(NOTA[ID]),COLUMN(NOTA[ID]))&amp;":"&amp;ADDRESS(ROW(),COLUMN(NOTA[ID]))),-1)))</f>
        <v>117</v>
      </c>
      <c r="E515" s="32"/>
      <c r="F515" s="31"/>
      <c r="G515" s="31"/>
      <c r="H515" s="33"/>
      <c r="I515" s="31"/>
      <c r="J515" s="34"/>
      <c r="K515" s="31"/>
      <c r="L515" s="31" t="s">
        <v>103</v>
      </c>
      <c r="M515" s="35">
        <v>1</v>
      </c>
      <c r="N515" s="31"/>
      <c r="O515" s="31"/>
      <c r="P515" s="30"/>
      <c r="Q515" s="103">
        <v>3110400</v>
      </c>
      <c r="R515" s="35" t="s">
        <v>102</v>
      </c>
      <c r="S515" s="37">
        <v>0.17</v>
      </c>
      <c r="T515" s="37"/>
      <c r="U515" s="36"/>
      <c r="V515" s="87"/>
      <c r="W515" s="36">
        <f>IF(NOTA[[#This Row],[HARGA/ CTN]]="",NOTA[[#This Row],[JUMLAH_H]],NOTA[[#This Row],[HARGA/ CTN]]*NOTA[[#This Row],[C]])</f>
        <v>3110400</v>
      </c>
      <c r="X515" s="36">
        <f>IF(NOTA[[#This Row],[JUMLAH]]="","",NOTA[[#This Row],[JUMLAH]]*NOTA[[#This Row],[DISC 1]])</f>
        <v>528768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528768</v>
      </c>
      <c r="AA515" s="36">
        <f>IF(NOTA[[#This Row],[JUMLAH]]="","",NOTA[[#This Row],[JUMLAH]]-NOTA[[#This Row],[DISC]])</f>
        <v>2581632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15" s="36" t="str">
        <f>IF(OR(NOTA[[#This Row],[QTY]]="",NOTA[[#This Row],[HARGA SATUAN]]="",),"",NOTA[[#This Row],[QTY]]*NOTA[[#This Row],[HARGA SATUAN]])</f>
        <v/>
      </c>
      <c r="AF515" s="34">
        <f ca="1">IF(NOTA[ID_H]="","",INDEX(NOTA[TANGGAL],MATCH(,INDIRECT(ADDRESS(ROW(NOTA[TANGGAL]),COLUMN(NOTA[TANGGAL]))&amp;":"&amp;ADDRESS(ROW(),COLUMN(NOTA[TANGGAL]))),-1)))</f>
        <v>44863</v>
      </c>
      <c r="AG515" s="30" t="str">
        <f ca="1">IF(NOTA[[#This Row],[NAMA BARANG]]="","",INDEX(NOTA[SUPPLIER],MATCH(,INDIRECT(ADDRESS(ROW(NOTA[ID]),COLUMN(NOTA[ID]))&amp;":"&amp;ADDRESS(ROW(),COLUMN(NOTA[ID]))),-1)))</f>
        <v>KENKO SINAR INDONESIA</v>
      </c>
      <c r="AH515" s="16" t="str">
        <f ca="1">IF(NOTA[[#This Row],[ID]]="","",COUNTIF(NOTA[ID_H],NOTA[[#This Row],[ID_H]]))</f>
        <v/>
      </c>
      <c r="AI515" s="16">
        <f ca="1">IF(NOTA[[#This Row],[TGL.NOTA]]="",IF(NOTA[[#This Row],[SUPPLIER_H]]="","",AI514),MONTH(NOTA[[#This Row],[TGL.NOTA]]))</f>
        <v>10</v>
      </c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117</v>
      </c>
      <c r="E516" s="32"/>
      <c r="F516" s="31"/>
      <c r="G516" s="31"/>
      <c r="H516" s="33"/>
      <c r="I516" s="31"/>
      <c r="J516" s="34"/>
      <c r="K516" s="31"/>
      <c r="L516" s="31" t="s">
        <v>523</v>
      </c>
      <c r="M516" s="35">
        <v>1</v>
      </c>
      <c r="N516" s="31"/>
      <c r="O516" s="31"/>
      <c r="P516" s="30"/>
      <c r="Q516" s="103">
        <v>2280000</v>
      </c>
      <c r="R516" s="35" t="s">
        <v>161</v>
      </c>
      <c r="S516" s="37">
        <v>0.17</v>
      </c>
      <c r="T516" s="37"/>
      <c r="U516" s="36"/>
      <c r="V516" s="87"/>
      <c r="W516" s="36">
        <f>IF(NOTA[[#This Row],[HARGA/ CTN]]="",NOTA[[#This Row],[JUMLAH_H]],NOTA[[#This Row],[HARGA/ CTN]]*NOTA[[#This Row],[C]])</f>
        <v>2280000</v>
      </c>
      <c r="X516" s="36">
        <f>IF(NOTA[[#This Row],[JUMLAH]]="","",NOTA[[#This Row],[JUMLAH]]*NOTA[[#This Row],[DISC 1]])</f>
        <v>387600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387600</v>
      </c>
      <c r="AA516" s="36">
        <f>IF(NOTA[[#This Row],[JUMLAH]]="","",NOTA[[#This Row],[JUMLAH]]-NOTA[[#This Row],[DISC]])</f>
        <v>1892400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16" s="36" t="str">
        <f>IF(OR(NOTA[[#This Row],[QTY]]="",NOTA[[#This Row],[HARGA SATUAN]]="",),"",NOTA[[#This Row],[QTY]]*NOTA[[#This Row],[HARGA SATUAN]])</f>
        <v/>
      </c>
      <c r="AF516" s="34">
        <f ca="1">IF(NOTA[ID_H]="","",INDEX(NOTA[TANGGAL],MATCH(,INDIRECT(ADDRESS(ROW(NOTA[TANGGAL]),COLUMN(NOTA[TANGGAL]))&amp;":"&amp;ADDRESS(ROW(),COLUMN(NOTA[TANGGAL]))),-1)))</f>
        <v>44863</v>
      </c>
      <c r="AG516" s="30" t="str">
        <f ca="1">IF(NOTA[[#This Row],[NAMA BARANG]]="","",INDEX(NOTA[SUPPLIER],MATCH(,INDIRECT(ADDRESS(ROW(NOTA[ID]),COLUMN(NOTA[ID]))&amp;":"&amp;ADDRESS(ROW(),COLUMN(NOTA[ID]))),-1)))</f>
        <v>KENKO SINAR INDONESIA</v>
      </c>
      <c r="AH516" s="16" t="str">
        <f ca="1">IF(NOTA[[#This Row],[ID]]="","",COUNTIF(NOTA[ID_H],NOTA[[#This Row],[ID_H]]))</f>
        <v/>
      </c>
      <c r="AI516" s="16">
        <f ca="1"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117</v>
      </c>
      <c r="E517" s="32"/>
      <c r="F517" s="31"/>
      <c r="G517" s="31"/>
      <c r="H517" s="33"/>
      <c r="I517" s="31"/>
      <c r="J517" s="34"/>
      <c r="K517" s="31"/>
      <c r="L517" s="31" t="s">
        <v>694</v>
      </c>
      <c r="M517" s="35">
        <v>2</v>
      </c>
      <c r="N517" s="31"/>
      <c r="O517" s="31"/>
      <c r="P517" s="30"/>
      <c r="Q517" s="103">
        <v>2052000</v>
      </c>
      <c r="R517" s="35" t="s">
        <v>94</v>
      </c>
      <c r="S517" s="37">
        <v>0.17</v>
      </c>
      <c r="T517" s="37"/>
      <c r="U517" s="36"/>
      <c r="V517" s="87"/>
      <c r="W517" s="36">
        <f>IF(NOTA[[#This Row],[HARGA/ CTN]]="",NOTA[[#This Row],[JUMLAH_H]],NOTA[[#This Row],[HARGA/ CTN]]*NOTA[[#This Row],[C]])</f>
        <v>4104000</v>
      </c>
      <c r="X517" s="36">
        <f>IF(NOTA[[#This Row],[JUMLAH]]="","",NOTA[[#This Row],[JUMLAH]]*NOTA[[#This Row],[DISC 1]])</f>
        <v>697680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697680</v>
      </c>
      <c r="AA517" s="36">
        <f>IF(NOTA[[#This Row],[JUMLAH]]="","",NOTA[[#This Row],[JUMLAH]]-NOTA[[#This Row],[DISC]])</f>
        <v>3406320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17" s="36" t="str">
        <f>IF(OR(NOTA[[#This Row],[QTY]]="",NOTA[[#This Row],[HARGA SATUAN]]="",),"",NOTA[[#This Row],[QTY]]*NOTA[[#This Row],[HARGA SATUAN]])</f>
        <v/>
      </c>
      <c r="AF517" s="34">
        <f ca="1">IF(NOTA[ID_H]="","",INDEX(NOTA[TANGGAL],MATCH(,INDIRECT(ADDRESS(ROW(NOTA[TANGGAL]),COLUMN(NOTA[TANGGAL]))&amp;":"&amp;ADDRESS(ROW(),COLUMN(NOTA[TANGGAL]))),-1)))</f>
        <v>44863</v>
      </c>
      <c r="AG517" s="30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>
        <f ca="1">IF(NOTA[[#This Row],[TGL.NOTA]]="",IF(NOTA[[#This Row],[SUPPLIER_H]]="","",AI516),MONTH(NOTA[[#This Row],[TGL.NOTA]]))</f>
        <v>10</v>
      </c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117</v>
      </c>
      <c r="E518" s="32"/>
      <c r="F518" s="31"/>
      <c r="G518" s="31"/>
      <c r="H518" s="33"/>
      <c r="I518" s="31"/>
      <c r="J518" s="34"/>
      <c r="K518" s="31"/>
      <c r="L518" s="31" t="s">
        <v>695</v>
      </c>
      <c r="M518" s="35">
        <v>1</v>
      </c>
      <c r="N518" s="31"/>
      <c r="O518" s="31"/>
      <c r="P518" s="30"/>
      <c r="Q518" s="103">
        <v>1590000</v>
      </c>
      <c r="R518" s="35" t="s">
        <v>698</v>
      </c>
      <c r="S518" s="37">
        <v>0.17</v>
      </c>
      <c r="T518" s="37"/>
      <c r="U518" s="36"/>
      <c r="V518" s="87"/>
      <c r="W518" s="36">
        <f>IF(NOTA[[#This Row],[HARGA/ CTN]]="",NOTA[[#This Row],[JUMLAH_H]],NOTA[[#This Row],[HARGA/ CTN]]*NOTA[[#This Row],[C]])</f>
        <v>1590000</v>
      </c>
      <c r="X518" s="36">
        <f>IF(NOTA[[#This Row],[JUMLAH]]="","",NOTA[[#This Row],[JUMLAH]]*NOTA[[#This Row],[DISC 1]])</f>
        <v>270300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270300</v>
      </c>
      <c r="AA518" s="36">
        <f>IF(NOTA[[#This Row],[JUMLAH]]="","",NOTA[[#This Row],[JUMLAH]]-NOTA[[#This Row],[DISC]])</f>
        <v>1319700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18" s="36" t="str">
        <f>IF(OR(NOTA[[#This Row],[QTY]]="",NOTA[[#This Row],[HARGA SATUAN]]="",),"",NOTA[[#This Row],[QTY]]*NOTA[[#This Row],[HARGA SATUAN]])</f>
        <v/>
      </c>
      <c r="AF518" s="34">
        <f ca="1">IF(NOTA[ID_H]="","",INDEX(NOTA[TANGGAL],MATCH(,INDIRECT(ADDRESS(ROW(NOTA[TANGGAL]),COLUMN(NOTA[TANGGAL]))&amp;":"&amp;ADDRESS(ROW(),COLUMN(NOTA[TANGGAL]))),-1)))</f>
        <v>44863</v>
      </c>
      <c r="AG518" s="30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>
        <f ca="1"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117</v>
      </c>
      <c r="E519" s="32"/>
      <c r="F519" s="31"/>
      <c r="G519" s="31"/>
      <c r="H519" s="33"/>
      <c r="I519" s="31"/>
      <c r="J519" s="34"/>
      <c r="K519" s="31"/>
      <c r="L519" s="31" t="s">
        <v>196</v>
      </c>
      <c r="M519" s="35">
        <v>2</v>
      </c>
      <c r="N519" s="31"/>
      <c r="O519" s="31"/>
      <c r="P519" s="30"/>
      <c r="Q519" s="103">
        <v>1380000</v>
      </c>
      <c r="R519" s="35" t="s">
        <v>197</v>
      </c>
      <c r="S519" s="37">
        <v>0.17</v>
      </c>
      <c r="T519" s="37"/>
      <c r="U519" s="36"/>
      <c r="V519" s="87"/>
      <c r="W519" s="36">
        <f>IF(NOTA[[#This Row],[HARGA/ CTN]]="",NOTA[[#This Row],[JUMLAH_H]],NOTA[[#This Row],[HARGA/ CTN]]*NOTA[[#This Row],[C]])</f>
        <v>2760000</v>
      </c>
      <c r="X519" s="36">
        <f>IF(NOTA[[#This Row],[JUMLAH]]="","",NOTA[[#This Row],[JUMLAH]]*NOTA[[#This Row],[DISC 1]])</f>
        <v>469200.00000000006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469200.00000000006</v>
      </c>
      <c r="AA519" s="36">
        <f>IF(NOTA[[#This Row],[JUMLAH]]="","",NOTA[[#This Row],[JUMLAH]]-NOTA[[#This Row],[DISC]])</f>
        <v>2290800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19" s="36" t="str">
        <f>IF(OR(NOTA[[#This Row],[QTY]]="",NOTA[[#This Row],[HARGA SATUAN]]="",),"",NOTA[[#This Row],[QTY]]*NOTA[[#This Row],[HARGA SATUAN]])</f>
        <v/>
      </c>
      <c r="AF519" s="34">
        <f ca="1">IF(NOTA[ID_H]="","",INDEX(NOTA[TANGGAL],MATCH(,INDIRECT(ADDRESS(ROW(NOTA[TANGGAL]),COLUMN(NOTA[TANGGAL]))&amp;":"&amp;ADDRESS(ROW(),COLUMN(NOTA[TANGGAL]))),-1)))</f>
        <v>44863</v>
      </c>
      <c r="AG519" s="30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117</v>
      </c>
      <c r="E520" s="32"/>
      <c r="F520" s="31"/>
      <c r="G520" s="31"/>
      <c r="H520" s="33"/>
      <c r="I520" s="31"/>
      <c r="J520" s="34"/>
      <c r="K520" s="31"/>
      <c r="L520" s="31" t="s">
        <v>696</v>
      </c>
      <c r="M520" s="35">
        <v>2</v>
      </c>
      <c r="N520" s="31"/>
      <c r="O520" s="31"/>
      <c r="P520" s="30"/>
      <c r="Q520" s="103">
        <v>1200000</v>
      </c>
      <c r="R520" s="35" t="s">
        <v>222</v>
      </c>
      <c r="S520" s="37">
        <v>0.17</v>
      </c>
      <c r="T520" s="37"/>
      <c r="U520" s="36"/>
      <c r="V520" s="87"/>
      <c r="W520" s="36">
        <f>IF(NOTA[[#This Row],[HARGA/ CTN]]="",NOTA[[#This Row],[JUMLAH_H]],NOTA[[#This Row],[HARGA/ CTN]]*NOTA[[#This Row],[C]])</f>
        <v>2400000</v>
      </c>
      <c r="X520" s="36">
        <f>IF(NOTA[[#This Row],[JUMLAH]]="","",NOTA[[#This Row],[JUMLAH]]*NOTA[[#This Row],[DISC 1]])</f>
        <v>408000.00000000006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408000.00000000006</v>
      </c>
      <c r="AA520" s="36">
        <f>IF(NOTA[[#This Row],[JUMLAH]]="","",NOTA[[#This Row],[JUMLAH]]-NOTA[[#This Row],[DISC]])</f>
        <v>1992000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20" s="36" t="str">
        <f>IF(OR(NOTA[[#This Row],[QTY]]="",NOTA[[#This Row],[HARGA SATUAN]]="",),"",NOTA[[#This Row],[QTY]]*NOTA[[#This Row],[HARGA SATUAN]])</f>
        <v/>
      </c>
      <c r="AF520" s="34">
        <f ca="1">IF(NOTA[ID_H]="","",INDEX(NOTA[TANGGAL],MATCH(,INDIRECT(ADDRESS(ROW(NOTA[TANGGAL]),COLUMN(NOTA[TANGGAL]))&amp;":"&amp;ADDRESS(ROW(),COLUMN(NOTA[TANGGAL]))),-1)))</f>
        <v>44863</v>
      </c>
      <c r="AG520" s="30" t="str">
        <f ca="1">IF(NOTA[[#This Row],[NAMA BARANG]]="","",INDEX(NOTA[SUPPLIER],MATCH(,INDIRECT(ADDRESS(ROW(NOTA[ID]),COLUMN(NOTA[ID]))&amp;":"&amp;ADDRESS(ROW(),COLUMN(NOTA[ID]))),-1)))</f>
        <v>KENKO SINAR INDONESIA</v>
      </c>
      <c r="AH520" s="16" t="str">
        <f ca="1">IF(NOTA[[#This Row],[ID]]="","",COUNTIF(NOTA[ID_H],NOTA[[#This Row],[ID_H]]))</f>
        <v/>
      </c>
      <c r="AI520" s="16">
        <f ca="1">IF(NOTA[[#This Row],[TGL.NOTA]]="",IF(NOTA[[#This Row],[SUPPLIER_H]]="","",AI519),MONTH(NOTA[[#This Row],[TGL.NOTA]]))</f>
        <v>10</v>
      </c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117</v>
      </c>
      <c r="E521" s="32"/>
      <c r="F521" s="31"/>
      <c r="G521" s="31"/>
      <c r="H521" s="33"/>
      <c r="I521" s="31"/>
      <c r="J521" s="34"/>
      <c r="K521" s="31"/>
      <c r="L521" s="31" t="s">
        <v>515</v>
      </c>
      <c r="M521" s="35">
        <v>1</v>
      </c>
      <c r="N521" s="31"/>
      <c r="O521" s="31"/>
      <c r="P521" s="30"/>
      <c r="Q521" s="103">
        <v>800000</v>
      </c>
      <c r="R521" s="35" t="s">
        <v>531</v>
      </c>
      <c r="S521" s="37">
        <v>0.17</v>
      </c>
      <c r="T521" s="37"/>
      <c r="U521" s="36"/>
      <c r="V521" s="87"/>
      <c r="W521" s="36">
        <f>IF(NOTA[[#This Row],[HARGA/ CTN]]="",NOTA[[#This Row],[JUMLAH_H]],NOTA[[#This Row],[HARGA/ CTN]]*NOTA[[#This Row],[C]])</f>
        <v>800000</v>
      </c>
      <c r="X521" s="36">
        <f>IF(NOTA[[#This Row],[JUMLAH]]="","",NOTA[[#This Row],[JUMLAH]]*NOTA[[#This Row],[DISC 1]])</f>
        <v>136000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136000</v>
      </c>
      <c r="AA521" s="36">
        <f>IF(NOTA[[#This Row],[JUMLAH]]="","",NOTA[[#This Row],[JUMLAH]]-NOTA[[#This Row],[DISC]])</f>
        <v>664000</v>
      </c>
      <c r="AB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21" s="36" t="str">
        <f>IF(OR(NOTA[[#This Row],[QTY]]="",NOTA[[#This Row],[HARGA SATUAN]]="",),"",NOTA[[#This Row],[QTY]]*NOTA[[#This Row],[HARGA SATUAN]])</f>
        <v/>
      </c>
      <c r="AF521" s="34">
        <f ca="1">IF(NOTA[ID_H]="","",INDEX(NOTA[TANGGAL],MATCH(,INDIRECT(ADDRESS(ROW(NOTA[TANGGAL]),COLUMN(NOTA[TANGGAL]))&amp;":"&amp;ADDRESS(ROW(),COLUMN(NOTA[TANGGAL]))),-1)))</f>
        <v>44863</v>
      </c>
      <c r="AG521" s="30" t="str">
        <f ca="1">IF(NOTA[[#This Row],[NAMA BARANG]]="","",INDEX(NOTA[SUPPLIER],MATCH(,INDIRECT(ADDRESS(ROW(NOTA[ID]),COLUMN(NOTA[ID]))&amp;":"&amp;ADDRESS(ROW(),COLUMN(NOTA[ID]))),-1)))</f>
        <v>KENKO SINAR INDONESIA</v>
      </c>
      <c r="AH521" s="16" t="str">
        <f ca="1">IF(NOTA[[#This Row],[ID]]="","",COUNTIF(NOTA[ID_H],NOTA[[#This Row],[ID_H]]))</f>
        <v/>
      </c>
      <c r="AI521" s="16">
        <f ca="1"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 t="str">
        <f ca="1">IF(NOTA[[#This Row],[NAMA BARANG]]="","",INDEX(NOTA[ID],MATCH(,INDIRECT(ADDRESS(ROW(NOTA[ID]),COLUMN(NOTA[ID]))&amp;":"&amp;ADDRESS(ROW(),COLUMN(NOTA[ID]))),-1)))</f>
        <v/>
      </c>
      <c r="E522" s="32"/>
      <c r="F522" s="31"/>
      <c r="G522" s="31"/>
      <c r="H522" s="33"/>
      <c r="I522" s="31"/>
      <c r="J522" s="34"/>
      <c r="K522" s="31"/>
      <c r="L522" s="31"/>
      <c r="M522" s="35"/>
      <c r="N522" s="31"/>
      <c r="O522" s="31"/>
      <c r="P522" s="30"/>
      <c r="Q522" s="103"/>
      <c r="R522" s="35"/>
      <c r="S522" s="37"/>
      <c r="T522" s="37"/>
      <c r="U522" s="36"/>
      <c r="V522" s="87"/>
      <c r="W522" s="36" t="str">
        <f>IF(NOTA[[#This Row],[HARGA/ CTN]]="",NOTA[[#This Row],[JUMLAH_H]],NOTA[[#This Row],[HARGA/ CTN]]*NOTA[[#This Row],[C]])</f>
        <v/>
      </c>
      <c r="X522" s="36" t="str">
        <f>IF(NOTA[[#This Row],[JUMLAH]]="","",NOTA[[#This Row],[JUMLAH]]*NOTA[[#This Row],[DISC 1]])</f>
        <v/>
      </c>
      <c r="Y522" s="36" t="str">
        <f>IF(NOTA[[#This Row],[JUMLAH]]="","",(NOTA[[#This Row],[JUMLAH]]-NOTA[[#This Row],[DISC 1-]])*NOTA[[#This Row],[DISC 2]])</f>
        <v/>
      </c>
      <c r="Z522" s="36" t="str">
        <f>IF(NOTA[[#This Row],[JUMLAH]]="","",NOTA[[#This Row],[DISC 1-]]+NOTA[[#This Row],[DISC 2-]])</f>
        <v/>
      </c>
      <c r="AA522" s="36" t="str">
        <f>IF(NOTA[[#This Row],[JUMLAH]]="","",NOTA[[#This Row],[JUMLAH]]-NOTA[[#This Row],[DISC]])</f>
        <v/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36" t="str">
        <f>IF(OR(NOTA[[#This Row],[QTY]]="",NOTA[[#This Row],[HARGA SATUAN]]="",),"",NOTA[[#This Row],[QTY]]*NOTA[[#This Row],[HARGA SATUAN]])</f>
        <v/>
      </c>
      <c r="AF522" s="34" t="str">
        <f ca="1">IF(NOTA[ID_H]="","",INDEX(NOTA[TANGGAL],MATCH(,INDIRECT(ADDRESS(ROW(NOTA[TANGGAL]),COLUMN(NOTA[TANGGAL]))&amp;":"&amp;ADDRESS(ROW(),COLUMN(NOTA[TANGGAL]))),-1)))</f>
        <v/>
      </c>
      <c r="AG522" s="3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3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23" s="39" t="e">
        <f ca="1">IF(NOTA[[#This Row],[ID_P]]="","",MATCH(NOTA[[#This Row],[ID_P]],[1]!B_MSK[N_ID],0))</f>
        <v>#REF!</v>
      </c>
      <c r="D523" s="39">
        <f ca="1">IF(NOTA[[#This Row],[NAMA BARANG]]="","",INDEX(NOTA[ID],MATCH(,INDIRECT(ADDRESS(ROW(NOTA[ID]),COLUMN(NOTA[ID]))&amp;":"&amp;ADDRESS(ROW(),COLUMN(NOTA[ID]))),-1)))</f>
        <v>118</v>
      </c>
      <c r="E523" s="32"/>
      <c r="F523" s="31" t="s">
        <v>25</v>
      </c>
      <c r="G523" s="31" t="s">
        <v>24</v>
      </c>
      <c r="H523" s="33" t="s">
        <v>699</v>
      </c>
      <c r="I523" s="31"/>
      <c r="J523" s="34">
        <v>44860</v>
      </c>
      <c r="K523" s="31"/>
      <c r="L523" s="31" t="s">
        <v>700</v>
      </c>
      <c r="M523" s="35">
        <v>5</v>
      </c>
      <c r="N523" s="31">
        <v>720</v>
      </c>
      <c r="O523" s="31" t="s">
        <v>204</v>
      </c>
      <c r="P523" s="30">
        <v>11600</v>
      </c>
      <c r="Q523" s="103"/>
      <c r="R523" s="35" t="s">
        <v>284</v>
      </c>
      <c r="S523" s="37">
        <v>0.125</v>
      </c>
      <c r="T523" s="37">
        <v>0.05</v>
      </c>
      <c r="U523" s="36"/>
      <c r="V523" s="87"/>
      <c r="W523" s="36">
        <f>IF(NOTA[[#This Row],[HARGA/ CTN]]="",NOTA[[#This Row],[JUMLAH_H]],NOTA[[#This Row],[HARGA/ CTN]]*NOTA[[#This Row],[C]])</f>
        <v>8352000</v>
      </c>
      <c r="X523" s="36">
        <f>IF(NOTA[[#This Row],[JUMLAH]]="","",NOTA[[#This Row],[JUMLAH]]*NOTA[[#This Row],[DISC 1]])</f>
        <v>1044000</v>
      </c>
      <c r="Y523" s="36">
        <f>IF(NOTA[[#This Row],[JUMLAH]]="","",(NOTA[[#This Row],[JUMLAH]]-NOTA[[#This Row],[DISC 1-]])*NOTA[[#This Row],[DISC 2]])</f>
        <v>365400</v>
      </c>
      <c r="Z523" s="36">
        <f>IF(NOTA[[#This Row],[JUMLAH]]="","",NOTA[[#This Row],[DISC 1-]]+NOTA[[#This Row],[DISC 2-]])</f>
        <v>1409400</v>
      </c>
      <c r="AA523" s="36">
        <f>IF(NOTA[[#This Row],[JUMLAH]]="","",NOTA[[#This Row],[JUMLAH]]-NOTA[[#This Row],[DISC]])</f>
        <v>6942600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23" s="36">
        <f>IF(OR(NOTA[[#This Row],[QTY]]="",NOTA[[#This Row],[HARGA SATUAN]]="",),"",NOTA[[#This Row],[QTY]]*NOTA[[#This Row],[HARGA SATUAN]])</f>
        <v>8352000</v>
      </c>
      <c r="AF523" s="34">
        <f ca="1">IF(NOTA[ID_H]="","",INDEX(NOTA[TANGGAL],MATCH(,INDIRECT(ADDRESS(ROW(NOTA[TANGGAL]),COLUMN(NOTA[TANGGAL]))&amp;":"&amp;ADDRESS(ROW(),COLUMN(NOTA[TANGGAL]))),-1)))</f>
        <v>44863</v>
      </c>
      <c r="AG523" s="30" t="str">
        <f ca="1">IF(NOTA[[#This Row],[NAMA BARANG]]="","",INDEX(NOTA[SUPPLIER],MATCH(,INDIRECT(ADDRESS(ROW(NOTA[ID]),COLUMN(NOTA[ID]))&amp;":"&amp;ADDRESS(ROW(),COLUMN(NOTA[ID]))),-1)))</f>
        <v>ATALI MAKMUR</v>
      </c>
      <c r="AH523" s="16">
        <f ca="1">IF(NOTA[[#This Row],[ID]]="","",COUNTIF(NOTA[ID_H],NOTA[[#This Row],[ID_H]]))</f>
        <v>2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118</v>
      </c>
      <c r="E524" s="32"/>
      <c r="F524" s="31"/>
      <c r="G524" s="31"/>
      <c r="H524" s="33"/>
      <c r="I524" s="31"/>
      <c r="J524" s="34"/>
      <c r="K524" s="31"/>
      <c r="L524" s="31" t="s">
        <v>596</v>
      </c>
      <c r="M524" s="35">
        <v>4</v>
      </c>
      <c r="N524" s="31">
        <v>3456</v>
      </c>
      <c r="O524" s="31" t="s">
        <v>88</v>
      </c>
      <c r="P524" s="30">
        <v>2450</v>
      </c>
      <c r="Q524" s="103"/>
      <c r="R524" s="35" t="s">
        <v>701</v>
      </c>
      <c r="S524" s="37">
        <v>0.125</v>
      </c>
      <c r="T524" s="37">
        <v>0.05</v>
      </c>
      <c r="U524" s="36"/>
      <c r="V524" s="87"/>
      <c r="W524" s="36">
        <f>IF(NOTA[[#This Row],[HARGA/ CTN]]="",NOTA[[#This Row],[JUMLAH_H]],NOTA[[#This Row],[HARGA/ CTN]]*NOTA[[#This Row],[C]])</f>
        <v>8467200</v>
      </c>
      <c r="X524" s="36">
        <f>IF(NOTA[[#This Row],[JUMLAH]]="","",NOTA[[#This Row],[JUMLAH]]*NOTA[[#This Row],[DISC 1]])</f>
        <v>1058400</v>
      </c>
      <c r="Y524" s="36">
        <f>IF(NOTA[[#This Row],[JUMLAH]]="","",(NOTA[[#This Row],[JUMLAH]]-NOTA[[#This Row],[DISC 1-]])*NOTA[[#This Row],[DISC 2]])</f>
        <v>370440</v>
      </c>
      <c r="Z524" s="36">
        <f>IF(NOTA[[#This Row],[JUMLAH]]="","",NOTA[[#This Row],[DISC 1-]]+NOTA[[#This Row],[DISC 2-]])</f>
        <v>1428840</v>
      </c>
      <c r="AA524" s="36">
        <f>IF(NOTA[[#This Row],[JUMLAH]]="","",NOTA[[#This Row],[JUMLAH]]-NOTA[[#This Row],[DISC]])</f>
        <v>7038360</v>
      </c>
      <c r="AB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24" s="36">
        <f>IF(OR(NOTA[[#This Row],[QTY]]="",NOTA[[#This Row],[HARGA SATUAN]]="",),"",NOTA[[#This Row],[QTY]]*NOTA[[#This Row],[HARGA SATUAN]])</f>
        <v>8467200</v>
      </c>
      <c r="AF524" s="34">
        <f ca="1">IF(NOTA[ID_H]="","",INDEX(NOTA[TANGGAL],MATCH(,INDIRECT(ADDRESS(ROW(NOTA[TANGGAL]),COLUMN(NOTA[TANGGAL]))&amp;":"&amp;ADDRESS(ROW(),COLUMN(NOTA[TANGGAL]))),-1)))</f>
        <v>44863</v>
      </c>
      <c r="AG524" s="30" t="str">
        <f ca="1">IF(NOTA[[#This Row],[NAMA BARANG]]="","",INDEX(NOTA[SUPPLIER],MATCH(,INDIRECT(ADDRESS(ROW(NOTA[ID]),COLUMN(NOTA[ID]))&amp;":"&amp;ADDRESS(ROW(),COLUMN(NOTA[ID]))),-1)))</f>
        <v>ATALI MAKMUR</v>
      </c>
      <c r="AH524" s="16" t="str">
        <f ca="1">IF(NOTA[[#This Row],[ID]]="","",COUNTIF(NOTA[ID_H],NOTA[[#This Row],[ID_H]]))</f>
        <v/>
      </c>
      <c r="AI524" s="16">
        <f ca="1">IF(NOTA[[#This Row],[TGL.NOTA]]="",IF(NOTA[[#This Row],[SUPPLIER_H]]="","",AI523),MONTH(NOTA[[#This Row],[TGL.NOTA]]))</f>
        <v>10</v>
      </c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 t="str">
        <f ca="1">IF(NOTA[[#This Row],[NAMA BARANG]]="","",INDEX(NOTA[ID],MATCH(,INDIRECT(ADDRESS(ROW(NOTA[ID]),COLUMN(NOTA[ID]))&amp;":"&amp;ADDRESS(ROW(),COLUMN(NOTA[ID]))),-1)))</f>
        <v/>
      </c>
      <c r="E525" s="32"/>
      <c r="F525" s="31"/>
      <c r="G525" s="31"/>
      <c r="H525" s="33"/>
      <c r="I525" s="31"/>
      <c r="J525" s="34"/>
      <c r="K525" s="31"/>
      <c r="L525" s="31"/>
      <c r="M525" s="35"/>
      <c r="N525" s="31"/>
      <c r="O525" s="31"/>
      <c r="P525" s="30"/>
      <c r="Q525" s="103"/>
      <c r="R525" s="35"/>
      <c r="S525" s="37"/>
      <c r="T525" s="37"/>
      <c r="U525" s="36"/>
      <c r="V525" s="87"/>
      <c r="W525" s="36" t="str">
        <f>IF(NOTA[[#This Row],[HARGA/ CTN]]="",NOTA[[#This Row],[JUMLAH_H]],NOTA[[#This Row],[HARGA/ CTN]]*NOTA[[#This Row],[C]])</f>
        <v/>
      </c>
      <c r="X525" s="36" t="str">
        <f>IF(NOTA[[#This Row],[JUMLAH]]="","",NOTA[[#This Row],[JUMLAH]]*NOTA[[#This Row],[DISC 1]])</f>
        <v/>
      </c>
      <c r="Y525" s="36" t="str">
        <f>IF(NOTA[[#This Row],[JUMLAH]]="","",(NOTA[[#This Row],[JUMLAH]]-NOTA[[#This Row],[DISC 1-]])*NOTA[[#This Row],[DISC 2]])</f>
        <v/>
      </c>
      <c r="Z525" s="36" t="str">
        <f>IF(NOTA[[#This Row],[JUMLAH]]="","",NOTA[[#This Row],[DISC 1-]]+NOTA[[#This Row],[DISC 2-]])</f>
        <v/>
      </c>
      <c r="AA525" s="36" t="str">
        <f>IF(NOTA[[#This Row],[JUMLAH]]="","",NOTA[[#This Row],[JUMLAH]]-NOTA[[#This Row],[DISC]])</f>
        <v/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36" t="str">
        <f>IF(OR(NOTA[[#This Row],[QTY]]="",NOTA[[#This Row],[HARGA SATUAN]]="",),"",NOTA[[#This Row],[QTY]]*NOTA[[#This Row],[HARGA SATUAN]])</f>
        <v/>
      </c>
      <c r="AF525" s="34" t="str">
        <f ca="1">IF(NOTA[ID_H]="","",INDEX(NOTA[TANGGAL],MATCH(,INDIRECT(ADDRESS(ROW(NOTA[TANGGAL]),COLUMN(NOTA[TANGGAL]))&amp;":"&amp;ADDRESS(ROW(),COLUMN(NOTA[TANGGAL]))),-1)))</f>
        <v/>
      </c>
      <c r="AG525" s="30" t="str">
        <f ca="1">IF(NOTA[[#This Row],[NAMA BARANG]]="","",INDEX(NOTA[SUPPLIER],MATCH(,INDIRECT(ADDRESS(ROW(NOTA[ID]),COLUMN(NOTA[ID]))&amp;":"&amp;ADDRESS(ROW(),COLUMN(NOTA[ID]))),-1)))</f>
        <v/>
      </c>
      <c r="AH525" s="16" t="str">
        <f ca="1">IF(NOTA[[#This Row],[ID]]="","",COUNTIF(NOTA[ID_H],NOTA[[#This Row],[ID_H]]))</f>
        <v/>
      </c>
      <c r="AI525" s="16" t="str">
        <f ca="1">IF(NOTA[[#This Row],[TGL.NOTA]]="",IF(NOTA[[#This Row],[SUPPLIER_H]]="","",AI524),MONTH(NOTA[[#This Row],[TGL.NOTA]]))</f>
        <v/>
      </c>
      <c r="AJ525" s="16"/>
    </row>
    <row r="526" spans="1:36" ht="20.100000000000001" customHeight="1" x14ac:dyDescent="0.25">
      <c r="A526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2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26" s="39" t="e">
        <f ca="1">IF(NOTA[[#This Row],[ID_P]]="","",MATCH(NOTA[[#This Row],[ID_P]],[1]!B_MSK[N_ID],0))</f>
        <v>#REF!</v>
      </c>
      <c r="D526" s="39">
        <f ca="1">IF(NOTA[[#This Row],[NAMA BARANG]]="","",INDEX(NOTA[ID],MATCH(,INDIRECT(ADDRESS(ROW(NOTA[ID]),COLUMN(NOTA[ID]))&amp;":"&amp;ADDRESS(ROW(),COLUMN(NOTA[ID]))),-1)))</f>
        <v>119</v>
      </c>
      <c r="E526" s="32"/>
      <c r="F526" s="31" t="s">
        <v>25</v>
      </c>
      <c r="G526" s="31" t="s">
        <v>24</v>
      </c>
      <c r="H526" s="33" t="s">
        <v>702</v>
      </c>
      <c r="I526" s="31"/>
      <c r="J526" s="34">
        <v>44859</v>
      </c>
      <c r="K526" s="31"/>
      <c r="L526" s="31" t="s">
        <v>703</v>
      </c>
      <c r="M526" s="35">
        <v>1</v>
      </c>
      <c r="N526" s="31">
        <v>576</v>
      </c>
      <c r="O526" s="31" t="s">
        <v>88</v>
      </c>
      <c r="P526" s="30">
        <v>3300</v>
      </c>
      <c r="Q526" s="103"/>
      <c r="R526" s="35" t="s">
        <v>411</v>
      </c>
      <c r="S526" s="37">
        <v>0.125</v>
      </c>
      <c r="T526" s="37">
        <v>0.05</v>
      </c>
      <c r="U526" s="36"/>
      <c r="V526" s="87"/>
      <c r="W526" s="36">
        <f>IF(NOTA[[#This Row],[HARGA/ CTN]]="",NOTA[[#This Row],[JUMLAH_H]],NOTA[[#This Row],[HARGA/ CTN]]*NOTA[[#This Row],[C]])</f>
        <v>1900800</v>
      </c>
      <c r="X526" s="36">
        <f>IF(NOTA[[#This Row],[JUMLAH]]="","",NOTA[[#This Row],[JUMLAH]]*NOTA[[#This Row],[DISC 1]])</f>
        <v>237600</v>
      </c>
      <c r="Y526" s="36">
        <f>IF(NOTA[[#This Row],[JUMLAH]]="","",(NOTA[[#This Row],[JUMLAH]]-NOTA[[#This Row],[DISC 1-]])*NOTA[[#This Row],[DISC 2]])</f>
        <v>83160</v>
      </c>
      <c r="Z526" s="36">
        <f>IF(NOTA[[#This Row],[JUMLAH]]="","",NOTA[[#This Row],[DISC 1-]]+NOTA[[#This Row],[DISC 2-]])</f>
        <v>320760</v>
      </c>
      <c r="AA526" s="36">
        <f>IF(NOTA[[#This Row],[JUMLAH]]="","",NOTA[[#This Row],[JUMLAH]]-NOTA[[#This Row],[DISC]])</f>
        <v>1580040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26" s="36">
        <f>IF(OR(NOTA[[#This Row],[QTY]]="",NOTA[[#This Row],[HARGA SATUAN]]="",),"",NOTA[[#This Row],[QTY]]*NOTA[[#This Row],[HARGA SATUAN]])</f>
        <v>1900800</v>
      </c>
      <c r="AF526" s="34">
        <f ca="1">IF(NOTA[ID_H]="","",INDEX(NOTA[TANGGAL],MATCH(,INDIRECT(ADDRESS(ROW(NOTA[TANGGAL]),COLUMN(NOTA[TANGGAL]))&amp;":"&amp;ADDRESS(ROW(),COLUMN(NOTA[TANGGAL]))),-1)))</f>
        <v>44863</v>
      </c>
      <c r="AG526" s="30" t="str">
        <f ca="1">IF(NOTA[[#This Row],[NAMA BARANG]]="","",INDEX(NOTA[SUPPLIER],MATCH(,INDIRECT(ADDRESS(ROW(NOTA[ID]),COLUMN(NOTA[ID]))&amp;":"&amp;ADDRESS(ROW(),COLUMN(NOTA[ID]))),-1)))</f>
        <v>ATALI MAKMUR</v>
      </c>
      <c r="AH526" s="16">
        <f ca="1">IF(NOTA[[#This Row],[ID]]="","",COUNTIF(NOTA[ID_H],NOTA[[#This Row],[ID_H]]))</f>
        <v>5</v>
      </c>
      <c r="AI526" s="16">
        <f>IF(NOTA[[#This Row],[TGL.NOTA]]="",IF(NOTA[[#This Row],[SUPPLIER_H]]="","",AI525),MONTH(NOTA[[#This Row],[TGL.NOTA]]))</f>
        <v>10</v>
      </c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119</v>
      </c>
      <c r="E527" s="32"/>
      <c r="F527" s="31"/>
      <c r="G527" s="31"/>
      <c r="H527" s="33"/>
      <c r="I527" s="31"/>
      <c r="J527" s="34"/>
      <c r="K527" s="31"/>
      <c r="L527" s="31" t="s">
        <v>704</v>
      </c>
      <c r="M527" s="35">
        <v>1</v>
      </c>
      <c r="N527" s="31">
        <v>500</v>
      </c>
      <c r="O527" s="31" t="s">
        <v>287</v>
      </c>
      <c r="P527" s="30">
        <v>1625</v>
      </c>
      <c r="Q527" s="103"/>
      <c r="R527" s="35" t="s">
        <v>288</v>
      </c>
      <c r="S527" s="37">
        <v>0.125</v>
      </c>
      <c r="T527" s="37">
        <v>0.05</v>
      </c>
      <c r="U527" s="36"/>
      <c r="V527" s="87"/>
      <c r="W527" s="36">
        <f>IF(NOTA[[#This Row],[HARGA/ CTN]]="",NOTA[[#This Row],[JUMLAH_H]],NOTA[[#This Row],[HARGA/ CTN]]*NOTA[[#This Row],[C]])</f>
        <v>812500</v>
      </c>
      <c r="X527" s="36">
        <f>IF(NOTA[[#This Row],[JUMLAH]]="","",NOTA[[#This Row],[JUMLAH]]*NOTA[[#This Row],[DISC 1]])</f>
        <v>101562.5</v>
      </c>
      <c r="Y527" s="36">
        <f>IF(NOTA[[#This Row],[JUMLAH]]="","",(NOTA[[#This Row],[JUMLAH]]-NOTA[[#This Row],[DISC 1-]])*NOTA[[#This Row],[DISC 2]])</f>
        <v>35546.875</v>
      </c>
      <c r="Z527" s="36">
        <f>IF(NOTA[[#This Row],[JUMLAH]]="","",NOTA[[#This Row],[DISC 1-]]+NOTA[[#This Row],[DISC 2-]])</f>
        <v>137109.375</v>
      </c>
      <c r="AA527" s="36">
        <f>IF(NOTA[[#This Row],[JUMLAH]]="","",NOTA[[#This Row],[JUMLAH]]-NOTA[[#This Row],[DISC]])</f>
        <v>675390.625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27" s="36">
        <f>IF(OR(NOTA[[#This Row],[QTY]]="",NOTA[[#This Row],[HARGA SATUAN]]="",),"",NOTA[[#This Row],[QTY]]*NOTA[[#This Row],[HARGA SATUAN]])</f>
        <v>812500</v>
      </c>
      <c r="AF527" s="34">
        <f ca="1">IF(NOTA[ID_H]="","",INDEX(NOTA[TANGGAL],MATCH(,INDIRECT(ADDRESS(ROW(NOTA[TANGGAL]),COLUMN(NOTA[TANGGAL]))&amp;":"&amp;ADDRESS(ROW(),COLUMN(NOTA[TANGGAL]))),-1)))</f>
        <v>44863</v>
      </c>
      <c r="AG527" s="30" t="str">
        <f ca="1">IF(NOTA[[#This Row],[NAMA BARANG]]="","",INDEX(NOTA[SUPPLIER],MATCH(,INDIRECT(ADDRESS(ROW(NOTA[ID]),COLUMN(NOTA[ID]))&amp;":"&amp;ADDRESS(ROW(),COLUMN(NOTA[ID]))),-1)))</f>
        <v>ATALI MAKMUR</v>
      </c>
      <c r="AH527" s="16" t="str">
        <f ca="1">IF(NOTA[[#This Row],[ID]]="","",COUNTIF(NOTA[ID_H],NOTA[[#This Row],[ID_H]]))</f>
        <v/>
      </c>
      <c r="AI527" s="16">
        <f ca="1"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119</v>
      </c>
      <c r="E528" s="32"/>
      <c r="F528" s="31"/>
      <c r="G528" s="31"/>
      <c r="H528" s="33"/>
      <c r="I528" s="31"/>
      <c r="J528" s="34"/>
      <c r="K528" s="31"/>
      <c r="L528" s="31" t="s">
        <v>466</v>
      </c>
      <c r="M528" s="35">
        <v>2</v>
      </c>
      <c r="N528" s="31">
        <v>1000</v>
      </c>
      <c r="O528" s="31" t="s">
        <v>104</v>
      </c>
      <c r="P528" s="30">
        <v>3050</v>
      </c>
      <c r="Q528" s="103"/>
      <c r="R528" s="35" t="s">
        <v>332</v>
      </c>
      <c r="S528" s="37">
        <v>0.125</v>
      </c>
      <c r="T528" s="37">
        <v>0.05</v>
      </c>
      <c r="U528" s="36"/>
      <c r="V528" s="87"/>
      <c r="W528" s="36">
        <f>IF(NOTA[[#This Row],[HARGA/ CTN]]="",NOTA[[#This Row],[JUMLAH_H]],NOTA[[#This Row],[HARGA/ CTN]]*NOTA[[#This Row],[C]])</f>
        <v>3050000</v>
      </c>
      <c r="X528" s="36">
        <f>IF(NOTA[[#This Row],[JUMLAH]]="","",NOTA[[#This Row],[JUMLAH]]*NOTA[[#This Row],[DISC 1]])</f>
        <v>381250</v>
      </c>
      <c r="Y528" s="36">
        <f>IF(NOTA[[#This Row],[JUMLAH]]="","",(NOTA[[#This Row],[JUMLAH]]-NOTA[[#This Row],[DISC 1-]])*NOTA[[#This Row],[DISC 2]])</f>
        <v>133437.5</v>
      </c>
      <c r="Z528" s="36">
        <f>IF(NOTA[[#This Row],[JUMLAH]]="","",NOTA[[#This Row],[DISC 1-]]+NOTA[[#This Row],[DISC 2-]])</f>
        <v>514687.5</v>
      </c>
      <c r="AA528" s="36">
        <f>IF(NOTA[[#This Row],[JUMLAH]]="","",NOTA[[#This Row],[JUMLAH]]-NOTA[[#This Row],[DISC]])</f>
        <v>2535312.5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28" s="36">
        <f>IF(OR(NOTA[[#This Row],[QTY]]="",NOTA[[#This Row],[HARGA SATUAN]]="",),"",NOTA[[#This Row],[QTY]]*NOTA[[#This Row],[HARGA SATUAN]])</f>
        <v>3050000</v>
      </c>
      <c r="AF528" s="34">
        <f ca="1">IF(NOTA[ID_H]="","",INDEX(NOTA[TANGGAL],MATCH(,INDIRECT(ADDRESS(ROW(NOTA[TANGGAL]),COLUMN(NOTA[TANGGAL]))&amp;":"&amp;ADDRESS(ROW(),COLUMN(NOTA[TANGGAL]))),-1)))</f>
        <v>44863</v>
      </c>
      <c r="AG528" s="30" t="str">
        <f ca="1">IF(NOTA[[#This Row],[NAMA BARANG]]="","",INDEX(NOTA[SUPPLIER],MATCH(,INDIRECT(ADDRESS(ROW(NOTA[ID]),COLUMN(NOTA[ID]))&amp;":"&amp;ADDRESS(ROW(),COLUMN(NOTA[ID]))),-1)))</f>
        <v>ATALI MAKMUR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119</v>
      </c>
      <c r="E529" s="32"/>
      <c r="F529" s="31"/>
      <c r="G529" s="31"/>
      <c r="H529" s="33"/>
      <c r="I529" s="31"/>
      <c r="J529" s="34"/>
      <c r="K529" s="31"/>
      <c r="L529" s="31" t="s">
        <v>328</v>
      </c>
      <c r="M529" s="35">
        <v>2</v>
      </c>
      <c r="N529" s="31">
        <v>2000</v>
      </c>
      <c r="O529" s="31" t="s">
        <v>104</v>
      </c>
      <c r="P529" s="30">
        <v>2050</v>
      </c>
      <c r="Q529" s="103"/>
      <c r="R529" s="35" t="s">
        <v>329</v>
      </c>
      <c r="S529" s="37">
        <v>0.125</v>
      </c>
      <c r="T529" s="37">
        <v>0.05</v>
      </c>
      <c r="U529" s="36"/>
      <c r="V529" s="87"/>
      <c r="W529" s="36">
        <f>IF(NOTA[[#This Row],[HARGA/ CTN]]="",NOTA[[#This Row],[JUMLAH_H]],NOTA[[#This Row],[HARGA/ CTN]]*NOTA[[#This Row],[C]])</f>
        <v>4100000</v>
      </c>
      <c r="X529" s="36">
        <f>IF(NOTA[[#This Row],[JUMLAH]]="","",NOTA[[#This Row],[JUMLAH]]*NOTA[[#This Row],[DISC 1]])</f>
        <v>512500</v>
      </c>
      <c r="Y529" s="36">
        <f>IF(NOTA[[#This Row],[JUMLAH]]="","",(NOTA[[#This Row],[JUMLAH]]-NOTA[[#This Row],[DISC 1-]])*NOTA[[#This Row],[DISC 2]])</f>
        <v>179375</v>
      </c>
      <c r="Z529" s="36">
        <f>IF(NOTA[[#This Row],[JUMLAH]]="","",NOTA[[#This Row],[DISC 1-]]+NOTA[[#This Row],[DISC 2-]])</f>
        <v>691875</v>
      </c>
      <c r="AA529" s="36">
        <f>IF(NOTA[[#This Row],[JUMLAH]]="","",NOTA[[#This Row],[JUMLAH]]-NOTA[[#This Row],[DISC]])</f>
        <v>3408125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29" s="36">
        <f>IF(OR(NOTA[[#This Row],[QTY]]="",NOTA[[#This Row],[HARGA SATUAN]]="",),"",NOTA[[#This Row],[QTY]]*NOTA[[#This Row],[HARGA SATUAN]])</f>
        <v>4100000</v>
      </c>
      <c r="AF529" s="34">
        <f ca="1">IF(NOTA[ID_H]="","",INDEX(NOTA[TANGGAL],MATCH(,INDIRECT(ADDRESS(ROW(NOTA[TANGGAL]),COLUMN(NOTA[TANGGAL]))&amp;":"&amp;ADDRESS(ROW(),COLUMN(NOTA[TANGGAL]))),-1)))</f>
        <v>44863</v>
      </c>
      <c r="AG529" s="30" t="str">
        <f ca="1">IF(NOTA[[#This Row],[NAMA BARANG]]="","",INDEX(NOTA[SUPPLIER],MATCH(,INDIRECT(ADDRESS(ROW(NOTA[ID]),COLUMN(NOTA[ID]))&amp;":"&amp;ADDRESS(ROW(),COLUMN(NOTA[ID]))),-1)))</f>
        <v>ATALI MAKMUR</v>
      </c>
      <c r="AH529" s="16" t="str">
        <f ca="1">IF(NOTA[[#This Row],[ID]]="","",COUNTIF(NOTA[ID_H],NOTA[[#This Row],[ID_H]]))</f>
        <v/>
      </c>
      <c r="AI529" s="16">
        <f ca="1">IF(NOTA[[#This Row],[TGL.NOTA]]="",IF(NOTA[[#This Row],[SUPPLIER_H]]="","",AI528),MONTH(NOTA[[#This Row],[TGL.NOTA]]))</f>
        <v>10</v>
      </c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119</v>
      </c>
      <c r="E530" s="32"/>
      <c r="F530" s="31"/>
      <c r="G530" s="31"/>
      <c r="H530" s="33"/>
      <c r="I530" s="31"/>
      <c r="J530" s="34"/>
      <c r="K530" s="31"/>
      <c r="L530" s="31" t="s">
        <v>326</v>
      </c>
      <c r="M530" s="35">
        <v>5</v>
      </c>
      <c r="N530" s="31">
        <v>3600</v>
      </c>
      <c r="O530" s="31" t="s">
        <v>88</v>
      </c>
      <c r="P530" s="30">
        <v>4800</v>
      </c>
      <c r="Q530" s="103"/>
      <c r="R530" s="35" t="s">
        <v>327</v>
      </c>
      <c r="S530" s="37">
        <v>0.125</v>
      </c>
      <c r="T530" s="37">
        <v>0.05</v>
      </c>
      <c r="U530" s="36"/>
      <c r="V530" s="87"/>
      <c r="W530" s="36">
        <f>IF(NOTA[[#This Row],[HARGA/ CTN]]="",NOTA[[#This Row],[JUMLAH_H]],NOTA[[#This Row],[HARGA/ CTN]]*NOTA[[#This Row],[C]])</f>
        <v>17280000</v>
      </c>
      <c r="X530" s="36">
        <f>IF(NOTA[[#This Row],[JUMLAH]]="","",NOTA[[#This Row],[JUMLAH]]*NOTA[[#This Row],[DISC 1]])</f>
        <v>2160000</v>
      </c>
      <c r="Y530" s="36">
        <f>IF(NOTA[[#This Row],[JUMLAH]]="","",(NOTA[[#This Row],[JUMLAH]]-NOTA[[#This Row],[DISC 1-]])*NOTA[[#This Row],[DISC 2]])</f>
        <v>756000</v>
      </c>
      <c r="Z530" s="36">
        <f>IF(NOTA[[#This Row],[JUMLAH]]="","",NOTA[[#This Row],[DISC 1-]]+NOTA[[#This Row],[DISC 2-]])</f>
        <v>2916000</v>
      </c>
      <c r="AA530" s="36">
        <f>IF(NOTA[[#This Row],[JUMLAH]]="","",NOTA[[#This Row],[JUMLAH]]-NOTA[[#This Row],[DISC]])</f>
        <v>14364000</v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30" s="36">
        <f>IF(OR(NOTA[[#This Row],[QTY]]="",NOTA[[#This Row],[HARGA SATUAN]]="",),"",NOTA[[#This Row],[QTY]]*NOTA[[#This Row],[HARGA SATUAN]])</f>
        <v>17280000</v>
      </c>
      <c r="AF530" s="34">
        <f ca="1">IF(NOTA[ID_H]="","",INDEX(NOTA[TANGGAL],MATCH(,INDIRECT(ADDRESS(ROW(NOTA[TANGGAL]),COLUMN(NOTA[TANGGAL]))&amp;":"&amp;ADDRESS(ROW(),COLUMN(NOTA[TANGGAL]))),-1)))</f>
        <v>44863</v>
      </c>
      <c r="AG530" s="30" t="str">
        <f ca="1">IF(NOTA[[#This Row],[NAMA BARANG]]="","",INDEX(NOTA[SUPPLIER],MATCH(,INDIRECT(ADDRESS(ROW(NOTA[ID]),COLUMN(NOTA[ID]))&amp;":"&amp;ADDRESS(ROW(),COLUMN(NOTA[ID]))),-1)))</f>
        <v>ATALI MAKMUR</v>
      </c>
      <c r="AH530" s="16" t="str">
        <f ca="1">IF(NOTA[[#This Row],[ID]]="","",COUNTIF(NOTA[ID_H],NOTA[[#This Row],[ID_H]]))</f>
        <v/>
      </c>
      <c r="AI530" s="16">
        <f ca="1"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32"/>
      <c r="F531" s="31"/>
      <c r="G531" s="31"/>
      <c r="H531" s="33"/>
      <c r="I531" s="31"/>
      <c r="J531" s="34"/>
      <c r="K531" s="31"/>
      <c r="L531" s="31"/>
      <c r="M531" s="35"/>
      <c r="N531" s="31"/>
      <c r="O531" s="31"/>
      <c r="P531" s="30"/>
      <c r="Q531" s="103"/>
      <c r="R531" s="35"/>
      <c r="S531" s="37"/>
      <c r="T531" s="37"/>
      <c r="U531" s="36"/>
      <c r="V531" s="87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 t="str">
        <f ca="1">IF(NOTA[[#This Row],[TGL.NOTA]]="",IF(NOTA[[#This Row],[SUPPLIER_H]]="","",AI530),MONTH(NOTA[[#This Row],[TGL.NOTA]]))</f>
        <v/>
      </c>
      <c r="AJ531" s="16"/>
    </row>
    <row r="532" spans="1:36" ht="20.100000000000001" customHeight="1" x14ac:dyDescent="0.25">
      <c r="A532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32" s="39" t="e">
        <f ca="1">IF(NOTA[[#This Row],[ID_P]]="","",MATCH(NOTA[[#This Row],[ID_P]],[1]!B_MSK[N_ID],0))</f>
        <v>#REF!</v>
      </c>
      <c r="D532" s="39">
        <f ca="1">IF(NOTA[[#This Row],[NAMA BARANG]]="","",INDEX(NOTA[ID],MATCH(,INDIRECT(ADDRESS(ROW(NOTA[ID]),COLUMN(NOTA[ID]))&amp;":"&amp;ADDRESS(ROW(),COLUMN(NOTA[ID]))),-1)))</f>
        <v>120</v>
      </c>
      <c r="E532" s="32"/>
      <c r="F532" s="31" t="s">
        <v>708</v>
      </c>
      <c r="G532" s="31" t="s">
        <v>87</v>
      </c>
      <c r="H532" s="33" t="s">
        <v>709</v>
      </c>
      <c r="I532" s="31"/>
      <c r="J532" s="34">
        <v>44860</v>
      </c>
      <c r="K532" s="31"/>
      <c r="L532" s="31" t="s">
        <v>710</v>
      </c>
      <c r="M532" s="35">
        <v>11</v>
      </c>
      <c r="N532" s="31">
        <v>550</v>
      </c>
      <c r="O532" s="31" t="s">
        <v>90</v>
      </c>
      <c r="P532" s="30">
        <v>26500</v>
      </c>
      <c r="Q532" s="103"/>
      <c r="R532" s="35" t="s">
        <v>257</v>
      </c>
      <c r="S532" s="37"/>
      <c r="T532" s="37"/>
      <c r="U532" s="36"/>
      <c r="V532" s="87" t="s">
        <v>712</v>
      </c>
      <c r="W532" s="36">
        <f>IF(NOTA[[#This Row],[HARGA/ CTN]]="",NOTA[[#This Row],[JUMLAH_H]],NOTA[[#This Row],[HARGA/ CTN]]*NOTA[[#This Row],[C]])</f>
        <v>14575000</v>
      </c>
      <c r="X532" s="36">
        <f>IF(NOTA[[#This Row],[JUMLAH]]="","",NOTA[[#This Row],[JUMLAH]]*NOTA[[#This Row],[DISC 1]])</f>
        <v>0</v>
      </c>
      <c r="Y532" s="36">
        <f>IF(NOTA[[#This Row],[JUMLAH]]="","",(NOTA[[#This Row],[JUMLAH]]-NOTA[[#This Row],[DISC 1-]])*NOTA[[#This Row],[DISC 2]])</f>
        <v>0</v>
      </c>
      <c r="Z532" s="36">
        <f>IF(NOTA[[#This Row],[JUMLAH]]="","",NOTA[[#This Row],[DISC 1-]]+NOTA[[#This Row],[DISC 2-]])</f>
        <v>0</v>
      </c>
      <c r="AA532" s="36">
        <f>IF(NOTA[[#This Row],[JUMLAH]]="","",NOTA[[#This Row],[JUMLAH]]-NOTA[[#This Row],[DISC]])</f>
        <v>14575000</v>
      </c>
      <c r="AB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2" s="36">
        <f>IF(OR(NOTA[[#This Row],[QTY]]="",NOTA[[#This Row],[HARGA SATUAN]]="",),"",NOTA[[#This Row],[QTY]]*NOTA[[#This Row],[HARGA SATUAN]])</f>
        <v>14575000</v>
      </c>
      <c r="AF532" s="34">
        <f ca="1">IF(NOTA[ID_H]="","",INDEX(NOTA[TANGGAL],MATCH(,INDIRECT(ADDRESS(ROW(NOTA[TANGGAL]),COLUMN(NOTA[TANGGAL]))&amp;":"&amp;ADDRESS(ROW(),COLUMN(NOTA[TANGGAL]))),-1)))</f>
        <v>44863</v>
      </c>
      <c r="AG532" s="30" t="str">
        <f ca="1">IF(NOTA[[#This Row],[NAMA BARANG]]="","",INDEX(NOTA[SUPPLIER],MATCH(,INDIRECT(ADDRESS(ROW(NOTA[ID]),COLUMN(NOTA[ID]))&amp;":"&amp;ADDRESS(ROW(),COLUMN(NOTA[ID]))),-1)))</f>
        <v>ALPINDO</v>
      </c>
      <c r="AH532" s="16">
        <f ca="1">IF(NOTA[[#This Row],[ID]]="","",COUNTIF(NOTA[ID_H],NOTA[[#This Row],[ID_H]]))</f>
        <v>2</v>
      </c>
      <c r="AI532" s="16">
        <f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9" t="str">
        <f>IF(NOTA[[#This Row],[ID_P]]="","",MATCH(NOTA[[#This Row],[ID_P]],[1]!B_MSK[N_ID],0))</f>
        <v/>
      </c>
      <c r="D533" s="39">
        <f ca="1">IF(NOTA[[#This Row],[NAMA BARANG]]="","",INDEX(NOTA[ID],MATCH(,INDIRECT(ADDRESS(ROW(NOTA[ID]),COLUMN(NOTA[ID]))&amp;":"&amp;ADDRESS(ROW(),COLUMN(NOTA[ID]))),-1)))</f>
        <v>120</v>
      </c>
      <c r="E533" s="32"/>
      <c r="F533" s="31"/>
      <c r="G533" s="31"/>
      <c r="H533" s="33"/>
      <c r="I533" s="31"/>
      <c r="J533" s="34"/>
      <c r="K533" s="31"/>
      <c r="L533" s="31" t="s">
        <v>711</v>
      </c>
      <c r="M533" s="35">
        <v>8</v>
      </c>
      <c r="N533" s="31">
        <v>400</v>
      </c>
      <c r="O533" s="31" t="s">
        <v>90</v>
      </c>
      <c r="P533" s="30">
        <v>22500</v>
      </c>
      <c r="Q533" s="103"/>
      <c r="R533" s="35" t="s">
        <v>257</v>
      </c>
      <c r="S533" s="37"/>
      <c r="T533" s="37"/>
      <c r="U533" s="36"/>
      <c r="V533" s="87" t="s">
        <v>713</v>
      </c>
      <c r="W533" s="36">
        <f>IF(NOTA[[#This Row],[HARGA/ CTN]]="",NOTA[[#This Row],[JUMLAH_H]],NOTA[[#This Row],[HARGA/ CTN]]*NOTA[[#This Row],[C]])</f>
        <v>9000000</v>
      </c>
      <c r="X533" s="36">
        <f>IF(NOTA[[#This Row],[JUMLAH]]="","",NOTA[[#This Row],[JUMLAH]]*NOTA[[#This Row],[DISC 1]])</f>
        <v>0</v>
      </c>
      <c r="Y533" s="36">
        <f>IF(NOTA[[#This Row],[JUMLAH]]="","",(NOTA[[#This Row],[JUMLAH]]-NOTA[[#This Row],[DISC 1-]])*NOTA[[#This Row],[DISC 2]])</f>
        <v>0</v>
      </c>
      <c r="Z533" s="36">
        <f>IF(NOTA[[#This Row],[JUMLAH]]="","",NOTA[[#This Row],[DISC 1-]]+NOTA[[#This Row],[DISC 2-]])</f>
        <v>0</v>
      </c>
      <c r="AA533" s="36">
        <f>IF(NOTA[[#This Row],[JUMLAH]]="","",NOTA[[#This Row],[JUMLAH]]-NOTA[[#This Row],[DISC]])</f>
        <v>9000000</v>
      </c>
      <c r="AB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33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3" s="36">
        <f>IF(OR(NOTA[[#This Row],[QTY]]="",NOTA[[#This Row],[HARGA SATUAN]]="",),"",NOTA[[#This Row],[QTY]]*NOTA[[#This Row],[HARGA SATUAN]])</f>
        <v>9000000</v>
      </c>
      <c r="AF533" s="34">
        <f ca="1">IF(NOTA[ID_H]="","",INDEX(NOTA[TANGGAL],MATCH(,INDIRECT(ADDRESS(ROW(NOTA[TANGGAL]),COLUMN(NOTA[TANGGAL]))&amp;":"&amp;ADDRESS(ROW(),COLUMN(NOTA[TANGGAL]))),-1)))</f>
        <v>44863</v>
      </c>
      <c r="AG533" s="30" t="str">
        <f ca="1">IF(NOTA[[#This Row],[NAMA BARANG]]="","",INDEX(NOTA[SUPPLIER],MATCH(,INDIRECT(ADDRESS(ROW(NOTA[ID]),COLUMN(NOTA[ID]))&amp;":"&amp;ADDRESS(ROW(),COLUMN(NOTA[ID]))),-1)))</f>
        <v>ALPINDO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9" t="str">
        <f>IF(NOTA[[#This Row],[ID_P]]="","",MATCH(NOTA[[#This Row],[ID_P]],[1]!B_MSK[N_ID],0))</f>
        <v/>
      </c>
      <c r="D534" s="39" t="str">
        <f ca="1">IF(NOTA[[#This Row],[NAMA BARANG]]="","",INDEX(NOTA[ID],MATCH(,INDIRECT(ADDRESS(ROW(NOTA[ID]),COLUMN(NOTA[ID]))&amp;":"&amp;ADDRESS(ROW(),COLUMN(NOTA[ID]))),-1)))</f>
        <v/>
      </c>
      <c r="E534" s="32"/>
      <c r="F534" s="31"/>
      <c r="G534" s="31"/>
      <c r="H534" s="33"/>
      <c r="I534" s="31"/>
      <c r="J534" s="34"/>
      <c r="K534" s="31"/>
      <c r="L534" s="31"/>
      <c r="M534" s="35"/>
      <c r="N534" s="31"/>
      <c r="O534" s="31"/>
      <c r="P534" s="30"/>
      <c r="Q534" s="103"/>
      <c r="R534" s="35"/>
      <c r="S534" s="37"/>
      <c r="T534" s="37"/>
      <c r="U534" s="36"/>
      <c r="V534" s="87"/>
      <c r="W534" s="36" t="str">
        <f>IF(NOTA[[#This Row],[HARGA/ CTN]]="",NOTA[[#This Row],[JUMLAH_H]],NOTA[[#This Row],[HARGA/ CTN]]*NOTA[[#This Row],[C]])</f>
        <v/>
      </c>
      <c r="X534" s="36" t="str">
        <f>IF(NOTA[[#This Row],[JUMLAH]]="","",NOTA[[#This Row],[JUMLAH]]*NOTA[[#This Row],[DISC 1]])</f>
        <v/>
      </c>
      <c r="Y534" s="36" t="str">
        <f>IF(NOTA[[#This Row],[JUMLAH]]="","",(NOTA[[#This Row],[JUMLAH]]-NOTA[[#This Row],[DISC 1-]])*NOTA[[#This Row],[DISC 2]])</f>
        <v/>
      </c>
      <c r="Z534" s="36" t="str">
        <f>IF(NOTA[[#This Row],[JUMLAH]]="","",NOTA[[#This Row],[DISC 1-]]+NOTA[[#This Row],[DISC 2-]])</f>
        <v/>
      </c>
      <c r="AA534" s="36" t="str">
        <f>IF(NOTA[[#This Row],[JUMLAH]]="","",NOTA[[#This Row],[JUMLAH]]-NOTA[[#This Row],[DISC]])</f>
        <v/>
      </c>
      <c r="AB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6" t="str">
        <f>IF(OR(NOTA[[#This Row],[QTY]]="",NOTA[[#This Row],[HARGA SATUAN]]="",),"",NOTA[[#This Row],[QTY]]*NOTA[[#This Row],[HARGA SATUAN]])</f>
        <v/>
      </c>
      <c r="AF534" s="34" t="str">
        <f ca="1">IF(NOTA[ID_H]="","",INDEX(NOTA[TANGGAL],MATCH(,INDIRECT(ADDRESS(ROW(NOTA[TANGGAL]),COLUMN(NOTA[TANGGAL]))&amp;":"&amp;ADDRESS(ROW(),COLUMN(NOTA[TANGGAL]))),-1)))</f>
        <v/>
      </c>
      <c r="AG534" s="30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 t="str">
        <f ca="1">IF(NOTA[[#This Row],[TGL.NOTA]]="",IF(NOTA[[#This Row],[SUPPLIER_H]]="","",AI533),MONTH(NOTA[[#This Row],[TGL.NOTA]]))</f>
        <v/>
      </c>
      <c r="AJ534" s="16"/>
    </row>
    <row r="535" spans="1:36" ht="20.100000000000001" customHeight="1" x14ac:dyDescent="0.25">
      <c r="A535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35" s="39" t="e">
        <f ca="1">IF(NOTA[[#This Row],[ID_P]]="","",MATCH(NOTA[[#This Row],[ID_P]],[1]!B_MSK[N_ID],0))</f>
        <v>#REF!</v>
      </c>
      <c r="D535" s="39">
        <f ca="1">IF(NOTA[[#This Row],[NAMA BARANG]]="","",INDEX(NOTA[ID],MATCH(,INDIRECT(ADDRESS(ROW(NOTA[ID]),COLUMN(NOTA[ID]))&amp;":"&amp;ADDRESS(ROW(),COLUMN(NOTA[ID]))),-1)))</f>
        <v>121</v>
      </c>
      <c r="E535" s="32"/>
      <c r="F535" s="31" t="s">
        <v>714</v>
      </c>
      <c r="G535" s="31" t="s">
        <v>87</v>
      </c>
      <c r="H535" s="33" t="s">
        <v>715</v>
      </c>
      <c r="I535" s="31"/>
      <c r="J535" s="34">
        <v>44860</v>
      </c>
      <c r="K535" s="31"/>
      <c r="L535" s="31" t="s">
        <v>716</v>
      </c>
      <c r="M535" s="35">
        <v>1</v>
      </c>
      <c r="N535" s="31">
        <v>60</v>
      </c>
      <c r="O535" s="31" t="s">
        <v>287</v>
      </c>
      <c r="P535" s="30">
        <v>20000</v>
      </c>
      <c r="Q535" s="103"/>
      <c r="R535" s="35" t="s">
        <v>114</v>
      </c>
      <c r="S535" s="37">
        <v>0.03</v>
      </c>
      <c r="T535" s="37"/>
      <c r="U535" s="36"/>
      <c r="V535" s="87"/>
      <c r="W535" s="36">
        <f>IF(NOTA[[#This Row],[HARGA/ CTN]]="",NOTA[[#This Row],[JUMLAH_H]],NOTA[[#This Row],[HARGA/ CTN]]*NOTA[[#This Row],[C]])</f>
        <v>1200000</v>
      </c>
      <c r="X535" s="36">
        <f>IF(NOTA[[#This Row],[JUMLAH]]="","",NOTA[[#This Row],[JUMLAH]]*NOTA[[#This Row],[DISC 1]])</f>
        <v>36000</v>
      </c>
      <c r="Y535" s="36">
        <f>IF(NOTA[[#This Row],[JUMLAH]]="","",(NOTA[[#This Row],[JUMLAH]]-NOTA[[#This Row],[DISC 1-]])*NOTA[[#This Row],[DISC 2]])</f>
        <v>0</v>
      </c>
      <c r="Z535" s="36">
        <f>IF(NOTA[[#This Row],[JUMLAH]]="","",NOTA[[#This Row],[DISC 1-]]+NOTA[[#This Row],[DISC 2-]])</f>
        <v>36000</v>
      </c>
      <c r="AA535" s="36">
        <f>IF(NOTA[[#This Row],[JUMLAH]]="","",NOTA[[#This Row],[JUMLAH]]-NOTA[[#This Row],[DISC]])</f>
        <v>1164000</v>
      </c>
      <c r="AB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5" s="36">
        <f>IF(OR(NOTA[[#This Row],[QTY]]="",NOTA[[#This Row],[HARGA SATUAN]]="",),"",NOTA[[#This Row],[QTY]]*NOTA[[#This Row],[HARGA SATUAN]])</f>
        <v>1200000</v>
      </c>
      <c r="AF535" s="34">
        <f ca="1">IF(NOTA[ID_H]="","",INDEX(NOTA[TANGGAL],MATCH(,INDIRECT(ADDRESS(ROW(NOTA[TANGGAL]),COLUMN(NOTA[TANGGAL]))&amp;":"&amp;ADDRESS(ROW(),COLUMN(NOTA[TANGGAL]))),-1)))</f>
        <v>44863</v>
      </c>
      <c r="AG535" s="30" t="str">
        <f ca="1">IF(NOTA[[#This Row],[NAMA BARANG]]="","",INDEX(NOTA[SUPPLIER],MATCH(,INDIRECT(ADDRESS(ROW(NOTA[ID]),COLUMN(NOTA[ID]))&amp;":"&amp;ADDRESS(ROW(),COLUMN(NOTA[ID]))),-1)))</f>
        <v>SAHABAT REJEKI</v>
      </c>
      <c r="AH535" s="16">
        <f ca="1">IF(NOTA[[#This Row],[ID]]="","",COUNTIF(NOTA[ID_H],NOTA[[#This Row],[ID_H]]))</f>
        <v>12</v>
      </c>
      <c r="AI535" s="16">
        <f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9" t="str">
        <f>IF(NOTA[[#This Row],[ID_P]]="","",MATCH(NOTA[[#This Row],[ID_P]],[1]!B_MSK[N_ID],0))</f>
        <v/>
      </c>
      <c r="D536" s="39">
        <f ca="1">IF(NOTA[[#This Row],[NAMA BARANG]]="","",INDEX(NOTA[ID],MATCH(,INDIRECT(ADDRESS(ROW(NOTA[ID]),COLUMN(NOTA[ID]))&amp;":"&amp;ADDRESS(ROW(),COLUMN(NOTA[ID]))),-1)))</f>
        <v>121</v>
      </c>
      <c r="E536" s="32"/>
      <c r="F536" s="31"/>
      <c r="G536" s="31"/>
      <c r="H536" s="33"/>
      <c r="I536" s="31"/>
      <c r="J536" s="34"/>
      <c r="K536" s="31"/>
      <c r="L536" s="31" t="s">
        <v>717</v>
      </c>
      <c r="M536" s="35"/>
      <c r="N536" s="31">
        <v>33</v>
      </c>
      <c r="O536" s="31" t="s">
        <v>287</v>
      </c>
      <c r="P536" s="30">
        <v>20000</v>
      </c>
      <c r="Q536" s="103"/>
      <c r="R536" s="35" t="s">
        <v>114</v>
      </c>
      <c r="S536" s="37">
        <v>0.03</v>
      </c>
      <c r="T536" s="37"/>
      <c r="U536" s="36"/>
      <c r="V536" s="87"/>
      <c r="W536" s="36">
        <f>IF(NOTA[[#This Row],[HARGA/ CTN]]="",NOTA[[#This Row],[JUMLAH_H]],NOTA[[#This Row],[HARGA/ CTN]]*NOTA[[#This Row],[C]])</f>
        <v>660000</v>
      </c>
      <c r="X536" s="36">
        <f>IF(NOTA[[#This Row],[JUMLAH]]="","",NOTA[[#This Row],[JUMLAH]]*NOTA[[#This Row],[DISC 1]])</f>
        <v>19800</v>
      </c>
      <c r="Y536" s="36">
        <f>IF(NOTA[[#This Row],[JUMLAH]]="","",(NOTA[[#This Row],[JUMLAH]]-NOTA[[#This Row],[DISC 1-]])*NOTA[[#This Row],[DISC 2]])</f>
        <v>0</v>
      </c>
      <c r="Z536" s="36">
        <f>IF(NOTA[[#This Row],[JUMLAH]]="","",NOTA[[#This Row],[DISC 1-]]+NOTA[[#This Row],[DISC 2-]])</f>
        <v>19800</v>
      </c>
      <c r="AA536" s="36">
        <f>IF(NOTA[[#This Row],[JUMLAH]]="","",NOTA[[#This Row],[JUMLAH]]-NOTA[[#This Row],[DISC]])</f>
        <v>640200</v>
      </c>
      <c r="AB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36" s="36">
        <f>IF(OR(NOTA[[#This Row],[QTY]]="",NOTA[[#This Row],[HARGA SATUAN]]="",),"",NOTA[[#This Row],[QTY]]*NOTA[[#This Row],[HARGA SATUAN]])</f>
        <v>660000</v>
      </c>
      <c r="AF536" s="34">
        <f ca="1">IF(NOTA[ID_H]="","",INDEX(NOTA[TANGGAL],MATCH(,INDIRECT(ADDRESS(ROW(NOTA[TANGGAL]),COLUMN(NOTA[TANGGAL]))&amp;":"&amp;ADDRESS(ROW(),COLUMN(NOTA[TANGGAL]))),-1)))</f>
        <v>44863</v>
      </c>
      <c r="AG536" s="30" t="str">
        <f ca="1">IF(NOTA[[#This Row],[NAMA BARANG]]="","",INDEX(NOTA[SUPPLIER],MATCH(,INDIRECT(ADDRESS(ROW(NOTA[ID]),COLUMN(NOTA[ID]))&amp;":"&amp;ADDRESS(ROW(),COLUMN(NOTA[ID]))),-1)))</f>
        <v>SAHABAT REJEKI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9" t="str">
        <f>IF(NOTA[[#This Row],[ID_P]]="","",MATCH(NOTA[[#This Row],[ID_P]],[1]!B_MSK[N_ID],0))</f>
        <v/>
      </c>
      <c r="D537" s="39">
        <f ca="1">IF(NOTA[[#This Row],[NAMA BARANG]]="","",INDEX(NOTA[ID],MATCH(,INDIRECT(ADDRESS(ROW(NOTA[ID]),COLUMN(NOTA[ID]))&amp;":"&amp;ADDRESS(ROW(),COLUMN(NOTA[ID]))),-1)))</f>
        <v>121</v>
      </c>
      <c r="E537" s="32"/>
      <c r="F537" s="31"/>
      <c r="G537" s="31"/>
      <c r="H537" s="33"/>
      <c r="I537" s="31"/>
      <c r="J537" s="34"/>
      <c r="K537" s="31"/>
      <c r="L537" s="31" t="s">
        <v>718</v>
      </c>
      <c r="M537" s="35"/>
      <c r="N537" s="31">
        <v>52</v>
      </c>
      <c r="O537" s="31" t="s">
        <v>287</v>
      </c>
      <c r="P537" s="30">
        <v>20000</v>
      </c>
      <c r="Q537" s="103"/>
      <c r="R537" s="35" t="s">
        <v>114</v>
      </c>
      <c r="S537" s="37">
        <v>0.03</v>
      </c>
      <c r="T537" s="37"/>
      <c r="U537" s="36"/>
      <c r="V537" s="87"/>
      <c r="W537" s="36">
        <f>IF(NOTA[[#This Row],[HARGA/ CTN]]="",NOTA[[#This Row],[JUMLAH_H]],NOTA[[#This Row],[HARGA/ CTN]]*NOTA[[#This Row],[C]])</f>
        <v>1040000</v>
      </c>
      <c r="X537" s="36">
        <f>IF(NOTA[[#This Row],[JUMLAH]]="","",NOTA[[#This Row],[JUMLAH]]*NOTA[[#This Row],[DISC 1]])</f>
        <v>31200</v>
      </c>
      <c r="Y537" s="36">
        <f>IF(NOTA[[#This Row],[JUMLAH]]="","",(NOTA[[#This Row],[JUMLAH]]-NOTA[[#This Row],[DISC 1-]])*NOTA[[#This Row],[DISC 2]])</f>
        <v>0</v>
      </c>
      <c r="Z537" s="36">
        <f>IF(NOTA[[#This Row],[JUMLAH]]="","",NOTA[[#This Row],[DISC 1-]]+NOTA[[#This Row],[DISC 2-]])</f>
        <v>31200</v>
      </c>
      <c r="AA537" s="36">
        <f>IF(NOTA[[#This Row],[JUMLAH]]="","",NOTA[[#This Row],[JUMLAH]]-NOTA[[#This Row],[DISC]])</f>
        <v>1008800</v>
      </c>
      <c r="AB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37" s="36">
        <f>IF(OR(NOTA[[#This Row],[QTY]]="",NOTA[[#This Row],[HARGA SATUAN]]="",),"",NOTA[[#This Row],[QTY]]*NOTA[[#This Row],[HARGA SATUAN]])</f>
        <v>1040000</v>
      </c>
      <c r="AF537" s="34">
        <f ca="1">IF(NOTA[ID_H]="","",INDEX(NOTA[TANGGAL],MATCH(,INDIRECT(ADDRESS(ROW(NOTA[TANGGAL]),COLUMN(NOTA[TANGGAL]))&amp;":"&amp;ADDRESS(ROW(),COLUMN(NOTA[TANGGAL]))),-1)))</f>
        <v>44863</v>
      </c>
      <c r="AG537" s="30" t="str">
        <f ca="1">IF(NOTA[[#This Row],[NAMA BARANG]]="","",INDEX(NOTA[SUPPLIER],MATCH(,INDIRECT(ADDRESS(ROW(NOTA[ID]),COLUMN(NOTA[ID]))&amp;":"&amp;ADDRESS(ROW(),COLUMN(NOTA[ID]))),-1)))</f>
        <v>SAHABAT REJEKI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9" t="str">
        <f>IF(NOTA[[#This Row],[ID_P]]="","",MATCH(NOTA[[#This Row],[ID_P]],[1]!B_MSK[N_ID],0))</f>
        <v/>
      </c>
      <c r="D538" s="39">
        <f ca="1">IF(NOTA[[#This Row],[NAMA BARANG]]="","",INDEX(NOTA[ID],MATCH(,INDIRECT(ADDRESS(ROW(NOTA[ID]),COLUMN(NOTA[ID]))&amp;":"&amp;ADDRESS(ROW(),COLUMN(NOTA[ID]))),-1)))</f>
        <v>121</v>
      </c>
      <c r="E538" s="32"/>
      <c r="F538" s="31"/>
      <c r="G538" s="31"/>
      <c r="H538" s="33"/>
      <c r="I538" s="31"/>
      <c r="J538" s="34"/>
      <c r="K538" s="31"/>
      <c r="L538" s="31" t="s">
        <v>719</v>
      </c>
      <c r="M538" s="35"/>
      <c r="N538" s="31">
        <v>39</v>
      </c>
      <c r="O538" s="31" t="s">
        <v>287</v>
      </c>
      <c r="P538" s="30">
        <v>20000</v>
      </c>
      <c r="Q538" s="103"/>
      <c r="R538" s="35" t="s">
        <v>114</v>
      </c>
      <c r="S538" s="37">
        <v>0.03</v>
      </c>
      <c r="T538" s="37"/>
      <c r="U538" s="36"/>
      <c r="V538" s="87"/>
      <c r="W538" s="36">
        <f>IF(NOTA[[#This Row],[HARGA/ CTN]]="",NOTA[[#This Row],[JUMLAH_H]],NOTA[[#This Row],[HARGA/ CTN]]*NOTA[[#This Row],[C]])</f>
        <v>780000</v>
      </c>
      <c r="X538" s="36">
        <f>IF(NOTA[[#This Row],[JUMLAH]]="","",NOTA[[#This Row],[JUMLAH]]*NOTA[[#This Row],[DISC 1]])</f>
        <v>23400</v>
      </c>
      <c r="Y538" s="36">
        <f>IF(NOTA[[#This Row],[JUMLAH]]="","",(NOTA[[#This Row],[JUMLAH]]-NOTA[[#This Row],[DISC 1-]])*NOTA[[#This Row],[DISC 2]])</f>
        <v>0</v>
      </c>
      <c r="Z538" s="36">
        <f>IF(NOTA[[#This Row],[JUMLAH]]="","",NOTA[[#This Row],[DISC 1-]]+NOTA[[#This Row],[DISC 2-]])</f>
        <v>23400</v>
      </c>
      <c r="AA538" s="36">
        <f>IF(NOTA[[#This Row],[JUMLAH]]="","",NOTA[[#This Row],[JUMLAH]]-NOTA[[#This Row],[DISC]])</f>
        <v>756600</v>
      </c>
      <c r="AB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38" s="36">
        <f>IF(OR(NOTA[[#This Row],[QTY]]="",NOTA[[#This Row],[HARGA SATUAN]]="",),"",NOTA[[#This Row],[QTY]]*NOTA[[#This Row],[HARGA SATUAN]])</f>
        <v>780000</v>
      </c>
      <c r="AF538" s="34">
        <f ca="1">IF(NOTA[ID_H]="","",INDEX(NOTA[TANGGAL],MATCH(,INDIRECT(ADDRESS(ROW(NOTA[TANGGAL]),COLUMN(NOTA[TANGGAL]))&amp;":"&amp;ADDRESS(ROW(),COLUMN(NOTA[TANGGAL]))),-1)))</f>
        <v>44863</v>
      </c>
      <c r="AG538" s="30" t="str">
        <f ca="1">IF(NOTA[[#This Row],[NAMA BARANG]]="","",INDEX(NOTA[SUPPLIER],MATCH(,INDIRECT(ADDRESS(ROW(NOTA[ID]),COLUMN(NOTA[ID]))&amp;":"&amp;ADDRESS(ROW(),COLUMN(NOTA[ID]))),-1)))</f>
        <v>SAHABAT REJEKI</v>
      </c>
      <c r="AH538" s="16" t="str">
        <f ca="1">IF(NOTA[[#This Row],[ID]]="","",COUNTIF(NOTA[ID_H],NOTA[[#This Row],[ID_H]]))</f>
        <v/>
      </c>
      <c r="AI538" s="16">
        <f ca="1">IF(NOTA[[#This Row],[TGL.NOTA]]="",IF(NOTA[[#This Row],[SUPPLIER_H]]="","",AI537),MONTH(NOTA[[#This Row],[TGL.NOTA]]))</f>
        <v>10</v>
      </c>
      <c r="AJ538" s="16"/>
    </row>
    <row r="539" spans="1:36" ht="20.100000000000001" customHeight="1" x14ac:dyDescent="0.25">
      <c r="A5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9" t="str">
        <f>IF(NOTA[[#This Row],[ID_P]]="","",MATCH(NOTA[[#This Row],[ID_P]],[1]!B_MSK[N_ID],0))</f>
        <v/>
      </c>
      <c r="D539" s="39">
        <f ca="1">IF(NOTA[[#This Row],[NAMA BARANG]]="","",INDEX(NOTA[ID],MATCH(,INDIRECT(ADDRESS(ROW(NOTA[ID]),COLUMN(NOTA[ID]))&amp;":"&amp;ADDRESS(ROW(),COLUMN(NOTA[ID]))),-1)))</f>
        <v>121</v>
      </c>
      <c r="E539" s="32"/>
      <c r="F539" s="31"/>
      <c r="G539" s="31"/>
      <c r="H539" s="33"/>
      <c r="I539" s="31"/>
      <c r="J539" s="34"/>
      <c r="K539" s="31"/>
      <c r="L539" s="31" t="s">
        <v>720</v>
      </c>
      <c r="M539" s="35">
        <v>1</v>
      </c>
      <c r="N539" s="31">
        <v>60</v>
      </c>
      <c r="O539" s="31" t="s">
        <v>287</v>
      </c>
      <c r="P539" s="30">
        <v>20000</v>
      </c>
      <c r="Q539" s="103"/>
      <c r="R539" s="35" t="s">
        <v>114</v>
      </c>
      <c r="S539" s="37">
        <v>0.03</v>
      </c>
      <c r="T539" s="37"/>
      <c r="U539" s="36"/>
      <c r="V539" s="87"/>
      <c r="W539" s="36">
        <f>IF(NOTA[[#This Row],[HARGA/ CTN]]="",NOTA[[#This Row],[JUMLAH_H]],NOTA[[#This Row],[HARGA/ CTN]]*NOTA[[#This Row],[C]])</f>
        <v>1200000</v>
      </c>
      <c r="X539" s="36">
        <f>IF(NOTA[[#This Row],[JUMLAH]]="","",NOTA[[#This Row],[JUMLAH]]*NOTA[[#This Row],[DISC 1]])</f>
        <v>36000</v>
      </c>
      <c r="Y539" s="36">
        <f>IF(NOTA[[#This Row],[JUMLAH]]="","",(NOTA[[#This Row],[JUMLAH]]-NOTA[[#This Row],[DISC 1-]])*NOTA[[#This Row],[DISC 2]])</f>
        <v>0</v>
      </c>
      <c r="Z539" s="36">
        <f>IF(NOTA[[#This Row],[JUMLAH]]="","",NOTA[[#This Row],[DISC 1-]]+NOTA[[#This Row],[DISC 2-]])</f>
        <v>36000</v>
      </c>
      <c r="AA539" s="36">
        <f>IF(NOTA[[#This Row],[JUMLAH]]="","",NOTA[[#This Row],[JUMLAH]]-NOTA[[#This Row],[DISC]])</f>
        <v>1164000</v>
      </c>
      <c r="AB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39" s="36">
        <f>IF(OR(NOTA[[#This Row],[QTY]]="",NOTA[[#This Row],[HARGA SATUAN]]="",),"",NOTA[[#This Row],[QTY]]*NOTA[[#This Row],[HARGA SATUAN]])</f>
        <v>1200000</v>
      </c>
      <c r="AF539" s="34">
        <f ca="1">IF(NOTA[ID_H]="","",INDEX(NOTA[TANGGAL],MATCH(,INDIRECT(ADDRESS(ROW(NOTA[TANGGAL]),COLUMN(NOTA[TANGGAL]))&amp;":"&amp;ADDRESS(ROW(),COLUMN(NOTA[TANGGAL]))),-1)))</f>
        <v>44863</v>
      </c>
      <c r="AG539" s="30" t="str">
        <f ca="1">IF(NOTA[[#This Row],[NAMA BARANG]]="","",INDEX(NOTA[SUPPLIER],MATCH(,INDIRECT(ADDRESS(ROW(NOTA[ID]),COLUMN(NOTA[ID]))&amp;":"&amp;ADDRESS(ROW(),COLUMN(NOTA[ID]))),-1)))</f>
        <v>SAHABAT REJEKI</v>
      </c>
      <c r="AH539" s="16" t="str">
        <f ca="1">IF(NOTA[[#This Row],[ID]]="","",COUNTIF(NOTA[ID_H],NOTA[[#This Row],[ID_H]]))</f>
        <v/>
      </c>
      <c r="AI539" s="16">
        <f ca="1"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9" t="str">
        <f>IF(NOTA[[#This Row],[ID_P]]="","",MATCH(NOTA[[#This Row],[ID_P]],[1]!B_MSK[N_ID],0))</f>
        <v/>
      </c>
      <c r="D540" s="39">
        <f ca="1">IF(NOTA[[#This Row],[NAMA BARANG]]="","",INDEX(NOTA[ID],MATCH(,INDIRECT(ADDRESS(ROW(NOTA[ID]),COLUMN(NOTA[ID]))&amp;":"&amp;ADDRESS(ROW(),COLUMN(NOTA[ID]))),-1)))</f>
        <v>121</v>
      </c>
      <c r="E540" s="32"/>
      <c r="F540" s="31"/>
      <c r="G540" s="31"/>
      <c r="H540" s="33"/>
      <c r="I540" s="31"/>
      <c r="J540" s="34"/>
      <c r="K540" s="31"/>
      <c r="L540" s="31" t="s">
        <v>721</v>
      </c>
      <c r="M540" s="35">
        <v>1</v>
      </c>
      <c r="N540" s="31">
        <v>60</v>
      </c>
      <c r="O540" s="31" t="s">
        <v>287</v>
      </c>
      <c r="P540" s="30">
        <v>20000</v>
      </c>
      <c r="Q540" s="103"/>
      <c r="R540" s="35" t="s">
        <v>114</v>
      </c>
      <c r="S540" s="37">
        <v>0.03</v>
      </c>
      <c r="T540" s="37"/>
      <c r="U540" s="36"/>
      <c r="V540" s="87"/>
      <c r="W540" s="36">
        <f>IF(NOTA[[#This Row],[HARGA/ CTN]]="",NOTA[[#This Row],[JUMLAH_H]],NOTA[[#This Row],[HARGA/ CTN]]*NOTA[[#This Row],[C]])</f>
        <v>1200000</v>
      </c>
      <c r="X540" s="36">
        <f>IF(NOTA[[#This Row],[JUMLAH]]="","",NOTA[[#This Row],[JUMLAH]]*NOTA[[#This Row],[DISC 1]])</f>
        <v>36000</v>
      </c>
      <c r="Y540" s="36">
        <f>IF(NOTA[[#This Row],[JUMLAH]]="","",(NOTA[[#This Row],[JUMLAH]]-NOTA[[#This Row],[DISC 1-]])*NOTA[[#This Row],[DISC 2]])</f>
        <v>0</v>
      </c>
      <c r="Z540" s="36">
        <f>IF(NOTA[[#This Row],[JUMLAH]]="","",NOTA[[#This Row],[DISC 1-]]+NOTA[[#This Row],[DISC 2-]])</f>
        <v>36000</v>
      </c>
      <c r="AA540" s="36">
        <f>IF(NOTA[[#This Row],[JUMLAH]]="","",NOTA[[#This Row],[JUMLAH]]-NOTA[[#This Row],[DISC]])</f>
        <v>1164000</v>
      </c>
      <c r="AB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0" s="36">
        <f>IF(OR(NOTA[[#This Row],[QTY]]="",NOTA[[#This Row],[HARGA SATUAN]]="",),"",NOTA[[#This Row],[QTY]]*NOTA[[#This Row],[HARGA SATUAN]])</f>
        <v>1200000</v>
      </c>
      <c r="AF540" s="34">
        <f ca="1">IF(NOTA[ID_H]="","",INDEX(NOTA[TANGGAL],MATCH(,INDIRECT(ADDRESS(ROW(NOTA[TANGGAL]),COLUMN(NOTA[TANGGAL]))&amp;":"&amp;ADDRESS(ROW(),COLUMN(NOTA[TANGGAL]))),-1)))</f>
        <v>44863</v>
      </c>
      <c r="AG540" s="30" t="str">
        <f ca="1">IF(NOTA[[#This Row],[NAMA BARANG]]="","",INDEX(NOTA[SUPPLIER],MATCH(,INDIRECT(ADDRESS(ROW(NOTA[ID]),COLUMN(NOTA[ID]))&amp;":"&amp;ADDRESS(ROW(),COLUMN(NOTA[ID]))),-1)))</f>
        <v>SAHABAT REJEKI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39" t="str">
        <f>IF(NOTA[[#This Row],[ID_P]]="","",MATCH(NOTA[[#This Row],[ID_P]],[1]!B_MSK[N_ID],0))</f>
        <v/>
      </c>
      <c r="D541" s="39">
        <f ca="1">IF(NOTA[[#This Row],[NAMA BARANG]]="","",INDEX(NOTA[ID],MATCH(,INDIRECT(ADDRESS(ROW(NOTA[ID]),COLUMN(NOTA[ID]))&amp;":"&amp;ADDRESS(ROW(),COLUMN(NOTA[ID]))),-1)))</f>
        <v>121</v>
      </c>
      <c r="E541" s="32"/>
      <c r="F541" s="31"/>
      <c r="G541" s="31"/>
      <c r="H541" s="33"/>
      <c r="I541" s="31"/>
      <c r="J541" s="34"/>
      <c r="K541" s="31"/>
      <c r="L541" s="31" t="s">
        <v>722</v>
      </c>
      <c r="M541" s="35">
        <v>1</v>
      </c>
      <c r="N541" s="31">
        <v>60</v>
      </c>
      <c r="O541" s="31" t="s">
        <v>287</v>
      </c>
      <c r="P541" s="30">
        <v>20000</v>
      </c>
      <c r="Q541" s="103"/>
      <c r="R541" s="35" t="s">
        <v>114</v>
      </c>
      <c r="S541" s="37">
        <v>0.03</v>
      </c>
      <c r="T541" s="37"/>
      <c r="U541" s="36"/>
      <c r="V541" s="87"/>
      <c r="W541" s="36">
        <f>IF(NOTA[[#This Row],[HARGA/ CTN]]="",NOTA[[#This Row],[JUMLAH_H]],NOTA[[#This Row],[HARGA/ CTN]]*NOTA[[#This Row],[C]])</f>
        <v>1200000</v>
      </c>
      <c r="X541" s="36">
        <f>IF(NOTA[[#This Row],[JUMLAH]]="","",NOTA[[#This Row],[JUMLAH]]*NOTA[[#This Row],[DISC 1]])</f>
        <v>36000</v>
      </c>
      <c r="Y541" s="36">
        <f>IF(NOTA[[#This Row],[JUMLAH]]="","",(NOTA[[#This Row],[JUMLAH]]-NOTA[[#This Row],[DISC 1-]])*NOTA[[#This Row],[DISC 2]])</f>
        <v>0</v>
      </c>
      <c r="Z541" s="36">
        <f>IF(NOTA[[#This Row],[JUMLAH]]="","",NOTA[[#This Row],[DISC 1-]]+NOTA[[#This Row],[DISC 2-]])</f>
        <v>36000</v>
      </c>
      <c r="AA541" s="36">
        <f>IF(NOTA[[#This Row],[JUMLAH]]="","",NOTA[[#This Row],[JUMLAH]]-NOTA[[#This Row],[DISC]])</f>
        <v>1164000</v>
      </c>
      <c r="AB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1" s="36">
        <f>IF(OR(NOTA[[#This Row],[QTY]]="",NOTA[[#This Row],[HARGA SATUAN]]="",),"",NOTA[[#This Row],[QTY]]*NOTA[[#This Row],[HARGA SATUAN]])</f>
        <v>1200000</v>
      </c>
      <c r="AF541" s="34">
        <f ca="1">IF(NOTA[ID_H]="","",INDEX(NOTA[TANGGAL],MATCH(,INDIRECT(ADDRESS(ROW(NOTA[TANGGAL]),COLUMN(NOTA[TANGGAL]))&amp;":"&amp;ADDRESS(ROW(),COLUMN(NOTA[TANGGAL]))),-1)))</f>
        <v>44863</v>
      </c>
      <c r="AG541" s="30" t="str">
        <f ca="1">IF(NOTA[[#This Row],[NAMA BARANG]]="","",INDEX(NOTA[SUPPLIER],MATCH(,INDIRECT(ADDRESS(ROW(NOTA[ID]),COLUMN(NOTA[ID]))&amp;":"&amp;ADDRESS(ROW(),COLUMN(NOTA[ID]))),-1)))</f>
        <v>SAHABAT REJEKI</v>
      </c>
      <c r="AH541" s="16" t="str">
        <f ca="1">IF(NOTA[[#This Row],[ID]]="","",COUNTIF(NOTA[ID_H],NOTA[[#This Row],[ID_H]]))</f>
        <v/>
      </c>
      <c r="AI541" s="16">
        <f ca="1">IF(NOTA[[#This Row],[TGL.NOTA]]="",IF(NOTA[[#This Row],[SUPPLIER_H]]="","",AI540),MONTH(NOTA[[#This Row],[TGL.NOTA]]))</f>
        <v>10</v>
      </c>
      <c r="AJ541" s="16"/>
    </row>
    <row r="542" spans="1:36" ht="20.100000000000001" customHeight="1" x14ac:dyDescent="0.25">
      <c r="A5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9" t="str">
        <f>IF(NOTA[[#This Row],[ID_P]]="","",MATCH(NOTA[[#This Row],[ID_P]],[1]!B_MSK[N_ID],0))</f>
        <v/>
      </c>
      <c r="D542" s="39">
        <f ca="1">IF(NOTA[[#This Row],[NAMA BARANG]]="","",INDEX(NOTA[ID],MATCH(,INDIRECT(ADDRESS(ROW(NOTA[ID]),COLUMN(NOTA[ID]))&amp;":"&amp;ADDRESS(ROW(),COLUMN(NOTA[ID]))),-1)))</f>
        <v>121</v>
      </c>
      <c r="E542" s="32"/>
      <c r="F542" s="31"/>
      <c r="G542" s="31"/>
      <c r="H542" s="33"/>
      <c r="I542" s="31"/>
      <c r="J542" s="34"/>
      <c r="K542" s="31"/>
      <c r="L542" s="31" t="s">
        <v>723</v>
      </c>
      <c r="M542" s="35">
        <v>1</v>
      </c>
      <c r="N542" s="31">
        <v>60</v>
      </c>
      <c r="O542" s="31" t="s">
        <v>287</v>
      </c>
      <c r="P542" s="30">
        <v>20000</v>
      </c>
      <c r="Q542" s="103"/>
      <c r="R542" s="35" t="s">
        <v>114</v>
      </c>
      <c r="S542" s="37">
        <v>0.03</v>
      </c>
      <c r="T542" s="37"/>
      <c r="U542" s="36"/>
      <c r="V542" s="87"/>
      <c r="W542" s="36">
        <f>IF(NOTA[[#This Row],[HARGA/ CTN]]="",NOTA[[#This Row],[JUMLAH_H]],NOTA[[#This Row],[HARGA/ CTN]]*NOTA[[#This Row],[C]])</f>
        <v>1200000</v>
      </c>
      <c r="X542" s="36">
        <f>IF(NOTA[[#This Row],[JUMLAH]]="","",NOTA[[#This Row],[JUMLAH]]*NOTA[[#This Row],[DISC 1]])</f>
        <v>36000</v>
      </c>
      <c r="Y542" s="36">
        <f>IF(NOTA[[#This Row],[JUMLAH]]="","",(NOTA[[#This Row],[JUMLAH]]-NOTA[[#This Row],[DISC 1-]])*NOTA[[#This Row],[DISC 2]])</f>
        <v>0</v>
      </c>
      <c r="Z542" s="36">
        <f>IF(NOTA[[#This Row],[JUMLAH]]="","",NOTA[[#This Row],[DISC 1-]]+NOTA[[#This Row],[DISC 2-]])</f>
        <v>36000</v>
      </c>
      <c r="AA542" s="36">
        <f>IF(NOTA[[#This Row],[JUMLAH]]="","",NOTA[[#This Row],[JUMLAH]]-NOTA[[#This Row],[DISC]])</f>
        <v>1164000</v>
      </c>
      <c r="AB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2" s="36">
        <f>IF(OR(NOTA[[#This Row],[QTY]]="",NOTA[[#This Row],[HARGA SATUAN]]="",),"",NOTA[[#This Row],[QTY]]*NOTA[[#This Row],[HARGA SATUAN]])</f>
        <v>1200000</v>
      </c>
      <c r="AF542" s="34">
        <f ca="1">IF(NOTA[ID_H]="","",INDEX(NOTA[TANGGAL],MATCH(,INDIRECT(ADDRESS(ROW(NOTA[TANGGAL]),COLUMN(NOTA[TANGGAL]))&amp;":"&amp;ADDRESS(ROW(),COLUMN(NOTA[TANGGAL]))),-1)))</f>
        <v>44863</v>
      </c>
      <c r="AG542" s="30" t="str">
        <f ca="1">IF(NOTA[[#This Row],[NAMA BARANG]]="","",INDEX(NOTA[SUPPLIER],MATCH(,INDIRECT(ADDRESS(ROW(NOTA[ID]),COLUMN(NOTA[ID]))&amp;":"&amp;ADDRESS(ROW(),COLUMN(NOTA[ID]))),-1)))</f>
        <v>SAHABAT REJEKI</v>
      </c>
      <c r="AH542" s="16" t="str">
        <f ca="1">IF(NOTA[[#This Row],[ID]]="","",COUNTIF(NOTA[ID_H],NOTA[[#This Row],[ID_H]]))</f>
        <v/>
      </c>
      <c r="AI542" s="16">
        <f ca="1"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9" t="str">
        <f>IF(NOTA[[#This Row],[ID_P]]="","",MATCH(NOTA[[#This Row],[ID_P]],[1]!B_MSK[N_ID],0))</f>
        <v/>
      </c>
      <c r="D543" s="39">
        <f ca="1">IF(NOTA[[#This Row],[NAMA BARANG]]="","",INDEX(NOTA[ID],MATCH(,INDIRECT(ADDRESS(ROW(NOTA[ID]),COLUMN(NOTA[ID]))&amp;":"&amp;ADDRESS(ROW(),COLUMN(NOTA[ID]))),-1)))</f>
        <v>121</v>
      </c>
      <c r="E543" s="32"/>
      <c r="F543" s="31"/>
      <c r="G543" s="31"/>
      <c r="H543" s="33"/>
      <c r="I543" s="31"/>
      <c r="J543" s="34"/>
      <c r="K543" s="31"/>
      <c r="L543" s="31" t="s">
        <v>724</v>
      </c>
      <c r="M543" s="35">
        <v>1</v>
      </c>
      <c r="N543" s="31">
        <v>60</v>
      </c>
      <c r="O543" s="31" t="s">
        <v>287</v>
      </c>
      <c r="P543" s="30">
        <v>20000</v>
      </c>
      <c r="Q543" s="103"/>
      <c r="R543" s="35" t="s">
        <v>114</v>
      </c>
      <c r="S543" s="37">
        <v>0.03</v>
      </c>
      <c r="T543" s="37"/>
      <c r="U543" s="36"/>
      <c r="V543" s="87"/>
      <c r="W543" s="36">
        <f>IF(NOTA[[#This Row],[HARGA/ CTN]]="",NOTA[[#This Row],[JUMLAH_H]],NOTA[[#This Row],[HARGA/ CTN]]*NOTA[[#This Row],[C]])</f>
        <v>1200000</v>
      </c>
      <c r="X543" s="36">
        <f>IF(NOTA[[#This Row],[JUMLAH]]="","",NOTA[[#This Row],[JUMLAH]]*NOTA[[#This Row],[DISC 1]])</f>
        <v>36000</v>
      </c>
      <c r="Y543" s="36">
        <f>IF(NOTA[[#This Row],[JUMLAH]]="","",(NOTA[[#This Row],[JUMLAH]]-NOTA[[#This Row],[DISC 1-]])*NOTA[[#This Row],[DISC 2]])</f>
        <v>0</v>
      </c>
      <c r="Z543" s="36">
        <f>IF(NOTA[[#This Row],[JUMLAH]]="","",NOTA[[#This Row],[DISC 1-]]+NOTA[[#This Row],[DISC 2-]])</f>
        <v>36000</v>
      </c>
      <c r="AA543" s="36">
        <f>IF(NOTA[[#This Row],[JUMLAH]]="","",NOTA[[#This Row],[JUMLAH]]-NOTA[[#This Row],[DISC]])</f>
        <v>1164000</v>
      </c>
      <c r="AB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3" s="36">
        <f>IF(OR(NOTA[[#This Row],[QTY]]="",NOTA[[#This Row],[HARGA SATUAN]]="",),"",NOTA[[#This Row],[QTY]]*NOTA[[#This Row],[HARGA SATUAN]])</f>
        <v>1200000</v>
      </c>
      <c r="AF543" s="34">
        <f ca="1">IF(NOTA[ID_H]="","",INDEX(NOTA[TANGGAL],MATCH(,INDIRECT(ADDRESS(ROW(NOTA[TANGGAL]),COLUMN(NOTA[TANGGAL]))&amp;":"&amp;ADDRESS(ROW(),COLUMN(NOTA[TANGGAL]))),-1)))</f>
        <v>44863</v>
      </c>
      <c r="AG543" s="30" t="str">
        <f ca="1">IF(NOTA[[#This Row],[NAMA BARANG]]="","",INDEX(NOTA[SUPPLIER],MATCH(,INDIRECT(ADDRESS(ROW(NOTA[ID]),COLUMN(NOTA[ID]))&amp;":"&amp;ADDRESS(ROW(),COLUMN(NOTA[ID]))),-1)))</f>
        <v>SAHABAT REJEKI</v>
      </c>
      <c r="AH543" s="16" t="str">
        <f ca="1">IF(NOTA[[#This Row],[ID]]="","",COUNTIF(NOTA[ID_H],NOTA[[#This Row],[ID_H]]))</f>
        <v/>
      </c>
      <c r="AI543" s="16">
        <f ca="1">IF(NOTA[[#This Row],[TGL.NOTA]]="",IF(NOTA[[#This Row],[SUPPLIER_H]]="","",AI542),MONTH(NOTA[[#This Row],[TGL.NOTA]]))</f>
        <v>10</v>
      </c>
      <c r="AJ543" s="16"/>
    </row>
    <row r="544" spans="1:36" ht="20.100000000000001" customHeight="1" x14ac:dyDescent="0.25">
      <c r="A5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9" t="str">
        <f>IF(NOTA[[#This Row],[ID_P]]="","",MATCH(NOTA[[#This Row],[ID_P]],[1]!B_MSK[N_ID],0))</f>
        <v/>
      </c>
      <c r="D544" s="39">
        <f ca="1">IF(NOTA[[#This Row],[NAMA BARANG]]="","",INDEX(NOTA[ID],MATCH(,INDIRECT(ADDRESS(ROW(NOTA[ID]),COLUMN(NOTA[ID]))&amp;":"&amp;ADDRESS(ROW(),COLUMN(NOTA[ID]))),-1)))</f>
        <v>121</v>
      </c>
      <c r="E544" s="32"/>
      <c r="F544" s="31"/>
      <c r="G544" s="31"/>
      <c r="H544" s="33"/>
      <c r="I544" s="31"/>
      <c r="J544" s="34"/>
      <c r="K544" s="31"/>
      <c r="L544" s="31" t="s">
        <v>725</v>
      </c>
      <c r="M544" s="35">
        <v>1</v>
      </c>
      <c r="N544" s="31">
        <v>60</v>
      </c>
      <c r="O544" s="31" t="s">
        <v>287</v>
      </c>
      <c r="P544" s="30">
        <v>20000</v>
      </c>
      <c r="Q544" s="103"/>
      <c r="R544" s="35" t="s">
        <v>114</v>
      </c>
      <c r="S544" s="37">
        <v>0.03</v>
      </c>
      <c r="T544" s="37"/>
      <c r="U544" s="36"/>
      <c r="V544" s="87"/>
      <c r="W544" s="36">
        <f>IF(NOTA[[#This Row],[HARGA/ CTN]]="",NOTA[[#This Row],[JUMLAH_H]],NOTA[[#This Row],[HARGA/ CTN]]*NOTA[[#This Row],[C]])</f>
        <v>1200000</v>
      </c>
      <c r="X544" s="36">
        <f>IF(NOTA[[#This Row],[JUMLAH]]="","",NOTA[[#This Row],[JUMLAH]]*NOTA[[#This Row],[DISC 1]])</f>
        <v>36000</v>
      </c>
      <c r="Y544" s="36">
        <f>IF(NOTA[[#This Row],[JUMLAH]]="","",(NOTA[[#This Row],[JUMLAH]]-NOTA[[#This Row],[DISC 1-]])*NOTA[[#This Row],[DISC 2]])</f>
        <v>0</v>
      </c>
      <c r="Z544" s="36">
        <f>IF(NOTA[[#This Row],[JUMLAH]]="","",NOTA[[#This Row],[DISC 1-]]+NOTA[[#This Row],[DISC 2-]])</f>
        <v>36000</v>
      </c>
      <c r="AA544" s="36">
        <f>IF(NOTA[[#This Row],[JUMLAH]]="","",NOTA[[#This Row],[JUMLAH]]-NOTA[[#This Row],[DISC]])</f>
        <v>1164000</v>
      </c>
      <c r="AB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4" s="36">
        <f>IF(OR(NOTA[[#This Row],[QTY]]="",NOTA[[#This Row],[HARGA SATUAN]]="",),"",NOTA[[#This Row],[QTY]]*NOTA[[#This Row],[HARGA SATUAN]])</f>
        <v>1200000</v>
      </c>
      <c r="AF544" s="34">
        <f ca="1">IF(NOTA[ID_H]="","",INDEX(NOTA[TANGGAL],MATCH(,INDIRECT(ADDRESS(ROW(NOTA[TANGGAL]),COLUMN(NOTA[TANGGAL]))&amp;":"&amp;ADDRESS(ROW(),COLUMN(NOTA[TANGGAL]))),-1)))</f>
        <v>44863</v>
      </c>
      <c r="AG544" s="30" t="str">
        <f ca="1">IF(NOTA[[#This Row],[NAMA BARANG]]="","",INDEX(NOTA[SUPPLIER],MATCH(,INDIRECT(ADDRESS(ROW(NOTA[ID]),COLUMN(NOTA[ID]))&amp;":"&amp;ADDRESS(ROW(),COLUMN(NOTA[ID]))),-1)))</f>
        <v>SAHABAT REJEKI</v>
      </c>
      <c r="AH544" s="16" t="str">
        <f ca="1">IF(NOTA[[#This Row],[ID]]="","",COUNTIF(NOTA[ID_H],NOTA[[#This Row],[ID_H]]))</f>
        <v/>
      </c>
      <c r="AI544" s="16">
        <f ca="1"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9" t="str">
        <f>IF(NOTA[[#This Row],[ID_P]]="","",MATCH(NOTA[[#This Row],[ID_P]],[1]!B_MSK[N_ID],0))</f>
        <v/>
      </c>
      <c r="D545" s="39">
        <f ca="1">IF(NOTA[[#This Row],[NAMA BARANG]]="","",INDEX(NOTA[ID],MATCH(,INDIRECT(ADDRESS(ROW(NOTA[ID]),COLUMN(NOTA[ID]))&amp;":"&amp;ADDRESS(ROW(),COLUMN(NOTA[ID]))),-1)))</f>
        <v>121</v>
      </c>
      <c r="E545" s="32"/>
      <c r="F545" s="31"/>
      <c r="G545" s="31"/>
      <c r="H545" s="33"/>
      <c r="I545" s="31"/>
      <c r="J545" s="34"/>
      <c r="K545" s="31"/>
      <c r="L545" s="31" t="s">
        <v>726</v>
      </c>
      <c r="M545" s="35">
        <v>1</v>
      </c>
      <c r="N545" s="31">
        <v>60</v>
      </c>
      <c r="O545" s="31" t="s">
        <v>287</v>
      </c>
      <c r="P545" s="30">
        <v>20000</v>
      </c>
      <c r="Q545" s="103"/>
      <c r="R545" s="35" t="s">
        <v>114</v>
      </c>
      <c r="S545" s="37">
        <v>0.03</v>
      </c>
      <c r="T545" s="37"/>
      <c r="U545" s="36"/>
      <c r="V545" s="87"/>
      <c r="W545" s="36">
        <f>IF(NOTA[[#This Row],[HARGA/ CTN]]="",NOTA[[#This Row],[JUMLAH_H]],NOTA[[#This Row],[HARGA/ CTN]]*NOTA[[#This Row],[C]])</f>
        <v>1200000</v>
      </c>
      <c r="X545" s="36">
        <f>IF(NOTA[[#This Row],[JUMLAH]]="","",NOTA[[#This Row],[JUMLAH]]*NOTA[[#This Row],[DISC 1]])</f>
        <v>36000</v>
      </c>
      <c r="Y545" s="36">
        <f>IF(NOTA[[#This Row],[JUMLAH]]="","",(NOTA[[#This Row],[JUMLAH]]-NOTA[[#This Row],[DISC 1-]])*NOTA[[#This Row],[DISC 2]])</f>
        <v>0</v>
      </c>
      <c r="Z545" s="36">
        <f>IF(NOTA[[#This Row],[JUMLAH]]="","",NOTA[[#This Row],[DISC 1-]]+NOTA[[#This Row],[DISC 2-]])</f>
        <v>36000</v>
      </c>
      <c r="AA545" s="36">
        <f>IF(NOTA[[#This Row],[JUMLAH]]="","",NOTA[[#This Row],[JUMLAH]]-NOTA[[#This Row],[DISC]])</f>
        <v>1164000</v>
      </c>
      <c r="AB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5" s="36">
        <f>IF(OR(NOTA[[#This Row],[QTY]]="",NOTA[[#This Row],[HARGA SATUAN]]="",),"",NOTA[[#This Row],[QTY]]*NOTA[[#This Row],[HARGA SATUAN]])</f>
        <v>1200000</v>
      </c>
      <c r="AF545" s="34">
        <f ca="1">IF(NOTA[ID_H]="","",INDEX(NOTA[TANGGAL],MATCH(,INDIRECT(ADDRESS(ROW(NOTA[TANGGAL]),COLUMN(NOTA[TANGGAL]))&amp;":"&amp;ADDRESS(ROW(),COLUMN(NOTA[TANGGAL]))),-1)))</f>
        <v>44863</v>
      </c>
      <c r="AG545" s="30" t="str">
        <f ca="1">IF(NOTA[[#This Row],[NAMA BARANG]]="","",INDEX(NOTA[SUPPLIER],MATCH(,INDIRECT(ADDRESS(ROW(NOTA[ID]),COLUMN(NOTA[ID]))&amp;":"&amp;ADDRESS(ROW(),COLUMN(NOTA[ID]))),-1)))</f>
        <v>SAHABAT REJEKI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3" t="str">
        <f>IF(NOTA[[#This Row],[ID_P]]="","",MATCH(NOTA[[#This Row],[ID_P]],[1]!B_MSK[N_ID],0))</f>
        <v/>
      </c>
      <c r="D546" s="53">
        <f ca="1">IF(NOTA[[#This Row],[NAMA BARANG]]="","",INDEX(NOTA[ID],MATCH(,INDIRECT(ADDRESS(ROW(NOTA[ID]),COLUMN(NOTA[ID]))&amp;":"&amp;ADDRESS(ROW(),COLUMN(NOTA[ID]))),-1)))</f>
        <v>121</v>
      </c>
      <c r="E546" s="60"/>
      <c r="F546" s="31"/>
      <c r="G546" s="31"/>
      <c r="H546" s="33"/>
      <c r="I546" s="54"/>
      <c r="J546" s="56"/>
      <c r="K546" s="31"/>
      <c r="L546" s="31" t="s">
        <v>727</v>
      </c>
      <c r="M546" s="57"/>
      <c r="N546" s="31">
        <v>30</v>
      </c>
      <c r="O546" s="31" t="s">
        <v>287</v>
      </c>
      <c r="P546" s="52">
        <v>20000</v>
      </c>
      <c r="Q546" s="164"/>
      <c r="R546" s="35" t="s">
        <v>114</v>
      </c>
      <c r="S546" s="37">
        <v>0.03</v>
      </c>
      <c r="T546" s="59"/>
      <c r="U546" s="58"/>
      <c r="V546" s="87"/>
      <c r="W546" s="58">
        <f>IF(NOTA[[#This Row],[HARGA/ CTN]]="",NOTA[[#This Row],[JUMLAH_H]],NOTA[[#This Row],[HARGA/ CTN]]*NOTA[[#This Row],[C]])</f>
        <v>600000</v>
      </c>
      <c r="X546" s="58">
        <f>IF(NOTA[[#This Row],[JUMLAH]]="","",NOTA[[#This Row],[JUMLAH]]*NOTA[[#This Row],[DISC 1]])</f>
        <v>18000</v>
      </c>
      <c r="Y546" s="58">
        <f>IF(NOTA[[#This Row],[JUMLAH]]="","",(NOTA[[#This Row],[JUMLAH]]-NOTA[[#This Row],[DISC 1-]])*NOTA[[#This Row],[DISC 2]])</f>
        <v>0</v>
      </c>
      <c r="Z546" s="58">
        <f>IF(NOTA[[#This Row],[JUMLAH]]="","",NOTA[[#This Row],[DISC 1-]]+NOTA[[#This Row],[DISC 2-]])</f>
        <v>18000</v>
      </c>
      <c r="AA546" s="58">
        <f>IF(NOTA[[#This Row],[JUMLAH]]="","",NOTA[[#This Row],[JUMLAH]]-NOTA[[#This Row],[DISC]])</f>
        <v>582000</v>
      </c>
      <c r="AB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4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46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46" s="58">
        <f>IF(OR(NOTA[[#This Row],[QTY]]="",NOTA[[#This Row],[HARGA SATUAN]]="",),"",NOTA[[#This Row],[QTY]]*NOTA[[#This Row],[HARGA SATUAN]])</f>
        <v>600000</v>
      </c>
      <c r="AF546" s="56">
        <f ca="1">IF(NOTA[ID_H]="","",INDEX(NOTA[TANGGAL],MATCH(,INDIRECT(ADDRESS(ROW(NOTA[TANGGAL]),COLUMN(NOTA[TANGGAL]))&amp;":"&amp;ADDRESS(ROW(),COLUMN(NOTA[TANGGAL]))),-1)))</f>
        <v>44863</v>
      </c>
      <c r="AG546" s="52" t="str">
        <f ca="1">IF(NOTA[[#This Row],[NAMA BARANG]]="","",INDEX(NOTA[SUPPLIER],MATCH(,INDIRECT(ADDRESS(ROW(NOTA[ID]),COLUMN(NOTA[ID]))&amp;":"&amp;ADDRESS(ROW(),COLUMN(NOTA[ID]))),-1)))</f>
        <v>SAHABAT REJEKI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3" t="str">
        <f>IF(NOTA[[#This Row],[ID_P]]="","",MATCH(NOTA[[#This Row],[ID_P]],[1]!B_MSK[N_ID],0))</f>
        <v/>
      </c>
      <c r="D547" s="53" t="str">
        <f ca="1">IF(NOTA[[#This Row],[NAMA BARANG]]="","",INDEX(NOTA[ID],MATCH(,INDIRECT(ADDRESS(ROW(NOTA[ID]),COLUMN(NOTA[ID]))&amp;":"&amp;ADDRESS(ROW(),COLUMN(NOTA[ID]))),-1)))</f>
        <v/>
      </c>
      <c r="E547" s="60"/>
      <c r="F547" s="54"/>
      <c r="G547" s="54"/>
      <c r="H547" s="55"/>
      <c r="I547" s="54"/>
      <c r="J547" s="56"/>
      <c r="K547" s="54"/>
      <c r="L547" s="31"/>
      <c r="M547" s="57"/>
      <c r="N547" s="54"/>
      <c r="O547" s="31"/>
      <c r="P547" s="52"/>
      <c r="Q547" s="164"/>
      <c r="R547" s="57"/>
      <c r="S547" s="59"/>
      <c r="T547" s="59"/>
      <c r="U547" s="58"/>
      <c r="V547" s="87"/>
      <c r="W547" s="58" t="str">
        <f>IF(NOTA[[#This Row],[HARGA/ CTN]]="",NOTA[[#This Row],[JUMLAH_H]],NOTA[[#This Row],[HARGA/ CTN]]*NOTA[[#This Row],[C]])</f>
        <v/>
      </c>
      <c r="X547" s="58" t="str">
        <f>IF(NOTA[[#This Row],[JUMLAH]]="","",NOTA[[#This Row],[JUMLAH]]*NOTA[[#This Row],[DISC 1]])</f>
        <v/>
      </c>
      <c r="Y547" s="58" t="str">
        <f>IF(NOTA[[#This Row],[JUMLAH]]="","",(NOTA[[#This Row],[JUMLAH]]-NOTA[[#This Row],[DISC 1-]])*NOTA[[#This Row],[DISC 2]])</f>
        <v/>
      </c>
      <c r="Z547" s="58" t="str">
        <f>IF(NOTA[[#This Row],[JUMLAH]]="","",NOTA[[#This Row],[DISC 1-]]+NOTA[[#This Row],[DISC 2-]])</f>
        <v/>
      </c>
      <c r="AA547" s="58" t="str">
        <f>IF(NOTA[[#This Row],[JUMLAH]]="","",NOTA[[#This Row],[JUMLAH]]-NOTA[[#This Row],[DISC]])</f>
        <v/>
      </c>
      <c r="AB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58" t="str">
        <f>IF(OR(NOTA[[#This Row],[QTY]]="",NOTA[[#This Row],[HARGA SATUAN]]="",),"",NOTA[[#This Row],[QTY]]*NOTA[[#This Row],[HARGA SATUAN]])</f>
        <v/>
      </c>
      <c r="AF547" s="56" t="str">
        <f ca="1">IF(NOTA[ID_H]="","",INDEX(NOTA[TANGGAL],MATCH(,INDIRECT(ADDRESS(ROW(NOTA[TANGGAL]),COLUMN(NOTA[TANGGAL]))&amp;":"&amp;ADDRESS(ROW(),COLUMN(NOTA[TANGGAL]))),-1)))</f>
        <v/>
      </c>
      <c r="AG547" s="52" t="str">
        <f ca="1">IF(NOTA[[#This Row],[NAMA BARANG]]="","",INDEX(NOTA[SUPPLIER],MATCH(,INDIRECT(ADDRESS(ROW(NOTA[ID]),COLUMN(NOTA[ID]))&amp;":"&amp;ADDRESS(ROW(),COLUMN(NOTA[ID]))),-1)))</f>
        <v/>
      </c>
      <c r="AH547" s="16" t="str">
        <f ca="1">IF(NOTA[[#This Row],[ID]]="","",COUNTIF(NOTA[ID_H],NOTA[[#This Row],[ID_H]]))</f>
        <v/>
      </c>
      <c r="AI547" s="16" t="str">
        <f ca="1">IF(NOTA[[#This Row],[TGL.NOTA]]="",IF(NOTA[[#This Row],[SUPPLIER_H]]="","",AI546),MONTH(NOTA[[#This Row],[TGL.NOTA]]))</f>
        <v/>
      </c>
      <c r="AJ547" s="16"/>
    </row>
    <row r="548" spans="1:36" ht="20.100000000000001" customHeight="1" x14ac:dyDescent="0.25">
      <c r="A548" s="52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48" s="53" t="e">
        <f ca="1">IF(NOTA[[#This Row],[ID_P]]="","",MATCH(NOTA[[#This Row],[ID_P]],[1]!B_MSK[N_ID],0))</f>
        <v>#REF!</v>
      </c>
      <c r="D548" s="53">
        <f ca="1">IF(NOTA[[#This Row],[NAMA BARANG]]="","",INDEX(NOTA[ID],MATCH(,INDIRECT(ADDRESS(ROW(NOTA[ID]),COLUMN(NOTA[ID]))&amp;":"&amp;ADDRESS(ROW(),COLUMN(NOTA[ID]))),-1)))</f>
        <v>122</v>
      </c>
      <c r="E548" s="60"/>
      <c r="F548" s="31" t="s">
        <v>714</v>
      </c>
      <c r="G548" s="31" t="s">
        <v>87</v>
      </c>
      <c r="H548" s="33" t="s">
        <v>728</v>
      </c>
      <c r="I548" s="54"/>
      <c r="J548" s="56">
        <v>44860</v>
      </c>
      <c r="K548" s="54"/>
      <c r="L548" s="31" t="s">
        <v>729</v>
      </c>
      <c r="M548" s="57">
        <v>1</v>
      </c>
      <c r="N548" s="54">
        <v>60</v>
      </c>
      <c r="O548" s="31" t="s">
        <v>287</v>
      </c>
      <c r="P548" s="52">
        <v>20000</v>
      </c>
      <c r="Q548" s="164"/>
      <c r="R548" s="35" t="s">
        <v>114</v>
      </c>
      <c r="S548" s="59">
        <v>0.03</v>
      </c>
      <c r="T548" s="59"/>
      <c r="U548" s="58"/>
      <c r="V548" s="87"/>
      <c r="W548" s="58">
        <f>IF(NOTA[[#This Row],[HARGA/ CTN]]="",NOTA[[#This Row],[JUMLAH_H]],NOTA[[#This Row],[HARGA/ CTN]]*NOTA[[#This Row],[C]])</f>
        <v>1200000</v>
      </c>
      <c r="X548" s="58">
        <f>IF(NOTA[[#This Row],[JUMLAH]]="","",NOTA[[#This Row],[JUMLAH]]*NOTA[[#This Row],[DISC 1]])</f>
        <v>36000</v>
      </c>
      <c r="Y548" s="58">
        <f>IF(NOTA[[#This Row],[JUMLAH]]="","",(NOTA[[#This Row],[JUMLAH]]-NOTA[[#This Row],[DISC 1-]])*NOTA[[#This Row],[DISC 2]])</f>
        <v>0</v>
      </c>
      <c r="Z548" s="58">
        <f>IF(NOTA[[#This Row],[JUMLAH]]="","",NOTA[[#This Row],[DISC 1-]]+NOTA[[#This Row],[DISC 2-]])</f>
        <v>36000</v>
      </c>
      <c r="AA548" s="58">
        <f>IF(NOTA[[#This Row],[JUMLAH]]="","",NOTA[[#This Row],[JUMLAH]]-NOTA[[#This Row],[DISC]])</f>
        <v>1164000</v>
      </c>
      <c r="AB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8" s="58">
        <f>IF(OR(NOTA[[#This Row],[QTY]]="",NOTA[[#This Row],[HARGA SATUAN]]="",),"",NOTA[[#This Row],[QTY]]*NOTA[[#This Row],[HARGA SATUAN]])</f>
        <v>1200000</v>
      </c>
      <c r="AF548" s="56">
        <f ca="1">IF(NOTA[ID_H]="","",INDEX(NOTA[TANGGAL],MATCH(,INDIRECT(ADDRESS(ROW(NOTA[TANGGAL]),COLUMN(NOTA[TANGGAL]))&amp;":"&amp;ADDRESS(ROW(),COLUMN(NOTA[TANGGAL]))),-1)))</f>
        <v>44863</v>
      </c>
      <c r="AG548" s="52" t="str">
        <f ca="1">IF(NOTA[[#This Row],[NAMA BARANG]]="","",INDEX(NOTA[SUPPLIER],MATCH(,INDIRECT(ADDRESS(ROW(NOTA[ID]),COLUMN(NOTA[ID]))&amp;":"&amp;ADDRESS(ROW(),COLUMN(NOTA[ID]))),-1)))</f>
        <v>SAHABAT REJEKI</v>
      </c>
      <c r="AH548" s="16">
        <f ca="1">IF(NOTA[[#This Row],[ID]]="","",COUNTIF(NOTA[ID_H],NOTA[[#This Row],[ID_H]]))</f>
        <v>5</v>
      </c>
      <c r="AI548" s="16">
        <f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3" t="str">
        <f>IF(NOTA[[#This Row],[ID_P]]="","",MATCH(NOTA[[#This Row],[ID_P]],[1]!B_MSK[N_ID],0))</f>
        <v/>
      </c>
      <c r="D549" s="53">
        <f ca="1">IF(NOTA[[#This Row],[NAMA BARANG]]="","",INDEX(NOTA[ID],MATCH(,INDIRECT(ADDRESS(ROW(NOTA[ID]),COLUMN(NOTA[ID]))&amp;":"&amp;ADDRESS(ROW(),COLUMN(NOTA[ID]))),-1)))</f>
        <v>122</v>
      </c>
      <c r="E549" s="60"/>
      <c r="F549" s="54"/>
      <c r="G549" s="54"/>
      <c r="H549" s="55"/>
      <c r="I549" s="54"/>
      <c r="J549" s="56"/>
      <c r="K549" s="54"/>
      <c r="L549" s="31" t="s">
        <v>730</v>
      </c>
      <c r="M549" s="57">
        <v>1</v>
      </c>
      <c r="N549" s="54">
        <v>60</v>
      </c>
      <c r="O549" s="31" t="s">
        <v>287</v>
      </c>
      <c r="P549" s="52">
        <v>20000</v>
      </c>
      <c r="Q549" s="164"/>
      <c r="R549" s="35" t="s">
        <v>114</v>
      </c>
      <c r="S549" s="59">
        <v>0.03</v>
      </c>
      <c r="T549" s="59"/>
      <c r="U549" s="58"/>
      <c r="V549" s="87"/>
      <c r="W549" s="58">
        <f>IF(NOTA[[#This Row],[HARGA/ CTN]]="",NOTA[[#This Row],[JUMLAH_H]],NOTA[[#This Row],[HARGA/ CTN]]*NOTA[[#This Row],[C]])</f>
        <v>1200000</v>
      </c>
      <c r="X549" s="58">
        <f>IF(NOTA[[#This Row],[JUMLAH]]="","",NOTA[[#This Row],[JUMLAH]]*NOTA[[#This Row],[DISC 1]])</f>
        <v>36000</v>
      </c>
      <c r="Y549" s="58">
        <f>IF(NOTA[[#This Row],[JUMLAH]]="","",(NOTA[[#This Row],[JUMLAH]]-NOTA[[#This Row],[DISC 1-]])*NOTA[[#This Row],[DISC 2]])</f>
        <v>0</v>
      </c>
      <c r="Z549" s="58">
        <f>IF(NOTA[[#This Row],[JUMLAH]]="","",NOTA[[#This Row],[DISC 1-]]+NOTA[[#This Row],[DISC 2-]])</f>
        <v>36000</v>
      </c>
      <c r="AA549" s="58">
        <f>IF(NOTA[[#This Row],[JUMLAH]]="","",NOTA[[#This Row],[JUMLAH]]-NOTA[[#This Row],[DISC]])</f>
        <v>1164000</v>
      </c>
      <c r="AB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49" s="58">
        <f>IF(OR(NOTA[[#This Row],[QTY]]="",NOTA[[#This Row],[HARGA SATUAN]]="",),"",NOTA[[#This Row],[QTY]]*NOTA[[#This Row],[HARGA SATUAN]])</f>
        <v>1200000</v>
      </c>
      <c r="AF549" s="56">
        <f ca="1">IF(NOTA[ID_H]="","",INDEX(NOTA[TANGGAL],MATCH(,INDIRECT(ADDRESS(ROW(NOTA[TANGGAL]),COLUMN(NOTA[TANGGAL]))&amp;":"&amp;ADDRESS(ROW(),COLUMN(NOTA[TANGGAL]))),-1)))</f>
        <v>44863</v>
      </c>
      <c r="AG549" s="52" t="str">
        <f ca="1">IF(NOTA[[#This Row],[NAMA BARANG]]="","",INDEX(NOTA[SUPPLIER],MATCH(,INDIRECT(ADDRESS(ROW(NOTA[ID]),COLUMN(NOTA[ID]))&amp;":"&amp;ADDRESS(ROW(),COLUMN(NOTA[ID]))),-1)))</f>
        <v>SAHABAT REJEKI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3" t="str">
        <f>IF(NOTA[[#This Row],[ID_P]]="","",MATCH(NOTA[[#This Row],[ID_P]],[1]!B_MSK[N_ID],0))</f>
        <v/>
      </c>
      <c r="D550" s="53">
        <f ca="1">IF(NOTA[[#This Row],[NAMA BARANG]]="","",INDEX(NOTA[ID],MATCH(,INDIRECT(ADDRESS(ROW(NOTA[ID]),COLUMN(NOTA[ID]))&amp;":"&amp;ADDRESS(ROW(),COLUMN(NOTA[ID]))),-1)))</f>
        <v>122</v>
      </c>
      <c r="E550" s="60"/>
      <c r="F550" s="31"/>
      <c r="G550" s="31"/>
      <c r="H550" s="33"/>
      <c r="I550" s="54"/>
      <c r="J550" s="56"/>
      <c r="K550" s="54"/>
      <c r="L550" s="31" t="s">
        <v>731</v>
      </c>
      <c r="M550" s="57">
        <v>1</v>
      </c>
      <c r="N550" s="54">
        <v>60</v>
      </c>
      <c r="O550" s="31" t="s">
        <v>287</v>
      </c>
      <c r="P550" s="52">
        <v>20000</v>
      </c>
      <c r="Q550" s="164"/>
      <c r="R550" s="35" t="s">
        <v>114</v>
      </c>
      <c r="S550" s="59">
        <v>0.03</v>
      </c>
      <c r="T550" s="59"/>
      <c r="U550" s="58"/>
      <c r="V550" s="87"/>
      <c r="W550" s="58">
        <f>IF(NOTA[[#This Row],[HARGA/ CTN]]="",NOTA[[#This Row],[JUMLAH_H]],NOTA[[#This Row],[HARGA/ CTN]]*NOTA[[#This Row],[C]])</f>
        <v>1200000</v>
      </c>
      <c r="X550" s="58">
        <f>IF(NOTA[[#This Row],[JUMLAH]]="","",NOTA[[#This Row],[JUMLAH]]*NOTA[[#This Row],[DISC 1]])</f>
        <v>36000</v>
      </c>
      <c r="Y550" s="58">
        <f>IF(NOTA[[#This Row],[JUMLAH]]="","",(NOTA[[#This Row],[JUMLAH]]-NOTA[[#This Row],[DISC 1-]])*NOTA[[#This Row],[DISC 2]])</f>
        <v>0</v>
      </c>
      <c r="Z550" s="58">
        <f>IF(NOTA[[#This Row],[JUMLAH]]="","",NOTA[[#This Row],[DISC 1-]]+NOTA[[#This Row],[DISC 2-]])</f>
        <v>36000</v>
      </c>
      <c r="AA550" s="58">
        <f>IF(NOTA[[#This Row],[JUMLAH]]="","",NOTA[[#This Row],[JUMLAH]]-NOTA[[#This Row],[DISC]])</f>
        <v>1164000</v>
      </c>
      <c r="AB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0" s="58">
        <f>IF(OR(NOTA[[#This Row],[QTY]]="",NOTA[[#This Row],[HARGA SATUAN]]="",),"",NOTA[[#This Row],[QTY]]*NOTA[[#This Row],[HARGA SATUAN]])</f>
        <v>1200000</v>
      </c>
      <c r="AF550" s="56">
        <f ca="1">IF(NOTA[ID_H]="","",INDEX(NOTA[TANGGAL],MATCH(,INDIRECT(ADDRESS(ROW(NOTA[TANGGAL]),COLUMN(NOTA[TANGGAL]))&amp;":"&amp;ADDRESS(ROW(),COLUMN(NOTA[TANGGAL]))),-1)))</f>
        <v>44863</v>
      </c>
      <c r="AG550" s="52" t="str">
        <f ca="1">IF(NOTA[[#This Row],[NAMA BARANG]]="","",INDEX(NOTA[SUPPLIER],MATCH(,INDIRECT(ADDRESS(ROW(NOTA[ID]),COLUMN(NOTA[ID]))&amp;":"&amp;ADDRESS(ROW(),COLUMN(NOTA[ID]))),-1)))</f>
        <v>SAHABAT REJEKI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3" t="str">
        <f>IF(NOTA[[#This Row],[ID_P]]="","",MATCH(NOTA[[#This Row],[ID_P]],[1]!B_MSK[N_ID],0))</f>
        <v/>
      </c>
      <c r="D551" s="53">
        <f ca="1">IF(NOTA[[#This Row],[NAMA BARANG]]="","",INDEX(NOTA[ID],MATCH(,INDIRECT(ADDRESS(ROW(NOTA[ID]),COLUMN(NOTA[ID]))&amp;":"&amp;ADDRESS(ROW(),COLUMN(NOTA[ID]))),-1)))</f>
        <v>122</v>
      </c>
      <c r="E551" s="60"/>
      <c r="F551" s="54"/>
      <c r="G551" s="54"/>
      <c r="H551" s="55"/>
      <c r="I551" s="54"/>
      <c r="J551" s="56"/>
      <c r="K551" s="54"/>
      <c r="L551" s="31" t="s">
        <v>732</v>
      </c>
      <c r="M551" s="57">
        <v>1</v>
      </c>
      <c r="N551" s="54">
        <v>60</v>
      </c>
      <c r="O551" s="31" t="s">
        <v>287</v>
      </c>
      <c r="P551" s="52">
        <v>20000</v>
      </c>
      <c r="Q551" s="164"/>
      <c r="R551" s="35" t="s">
        <v>114</v>
      </c>
      <c r="S551" s="59">
        <v>0.03</v>
      </c>
      <c r="T551" s="59"/>
      <c r="U551" s="58"/>
      <c r="V551" s="87"/>
      <c r="W551" s="58">
        <f>IF(NOTA[[#This Row],[HARGA/ CTN]]="",NOTA[[#This Row],[JUMLAH_H]],NOTA[[#This Row],[HARGA/ CTN]]*NOTA[[#This Row],[C]])</f>
        <v>1200000</v>
      </c>
      <c r="X551" s="58">
        <f>IF(NOTA[[#This Row],[JUMLAH]]="","",NOTA[[#This Row],[JUMLAH]]*NOTA[[#This Row],[DISC 1]])</f>
        <v>36000</v>
      </c>
      <c r="Y551" s="58">
        <f>IF(NOTA[[#This Row],[JUMLAH]]="","",(NOTA[[#This Row],[JUMLAH]]-NOTA[[#This Row],[DISC 1-]])*NOTA[[#This Row],[DISC 2]])</f>
        <v>0</v>
      </c>
      <c r="Z551" s="58">
        <f>IF(NOTA[[#This Row],[JUMLAH]]="","",NOTA[[#This Row],[DISC 1-]]+NOTA[[#This Row],[DISC 2-]])</f>
        <v>36000</v>
      </c>
      <c r="AA551" s="58">
        <f>IF(NOTA[[#This Row],[JUMLAH]]="","",NOTA[[#This Row],[JUMLAH]]-NOTA[[#This Row],[DISC]])</f>
        <v>1164000</v>
      </c>
      <c r="AB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1" s="58">
        <f>IF(OR(NOTA[[#This Row],[QTY]]="",NOTA[[#This Row],[HARGA SATUAN]]="",),"",NOTA[[#This Row],[QTY]]*NOTA[[#This Row],[HARGA SATUAN]])</f>
        <v>1200000</v>
      </c>
      <c r="AF551" s="56">
        <f ca="1">IF(NOTA[ID_H]="","",INDEX(NOTA[TANGGAL],MATCH(,INDIRECT(ADDRESS(ROW(NOTA[TANGGAL]),COLUMN(NOTA[TANGGAL]))&amp;":"&amp;ADDRESS(ROW(),COLUMN(NOTA[TANGGAL]))),-1)))</f>
        <v>44863</v>
      </c>
      <c r="AG551" s="52" t="str">
        <f ca="1">IF(NOTA[[#This Row],[NAMA BARANG]]="","",INDEX(NOTA[SUPPLIER],MATCH(,INDIRECT(ADDRESS(ROW(NOTA[ID]),COLUMN(NOTA[ID]))&amp;":"&amp;ADDRESS(ROW(),COLUMN(NOTA[ID]))),-1)))</f>
        <v>SAHABAT REJEKI</v>
      </c>
      <c r="AH551" s="16" t="str">
        <f ca="1">IF(NOTA[[#This Row],[ID]]="","",COUNTIF(NOTA[ID_H],NOTA[[#This Row],[ID_H]]))</f>
        <v/>
      </c>
      <c r="AI551" s="16">
        <f ca="1">IF(NOTA[[#This Row],[TGL.NOTA]]="",IF(NOTA[[#This Row],[SUPPLIER_H]]="","",AI550),MONTH(NOTA[[#This Row],[TGL.NOTA]]))</f>
        <v>10</v>
      </c>
      <c r="AJ551" s="16"/>
    </row>
    <row r="552" spans="1:36" ht="20.100000000000001" customHeight="1" x14ac:dyDescent="0.25">
      <c r="A5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3" t="str">
        <f>IF(NOTA[[#This Row],[ID_P]]="","",MATCH(NOTA[[#This Row],[ID_P]],[1]!B_MSK[N_ID],0))</f>
        <v/>
      </c>
      <c r="D552" s="53">
        <f ca="1">IF(NOTA[[#This Row],[NAMA BARANG]]="","",INDEX(NOTA[ID],MATCH(,INDIRECT(ADDRESS(ROW(NOTA[ID]),COLUMN(NOTA[ID]))&amp;":"&amp;ADDRESS(ROW(),COLUMN(NOTA[ID]))),-1)))</f>
        <v>122</v>
      </c>
      <c r="E552" s="60"/>
      <c r="F552" s="31"/>
      <c r="G552" s="31"/>
      <c r="H552" s="33"/>
      <c r="I552" s="54"/>
      <c r="J552" s="56"/>
      <c r="K552" s="54"/>
      <c r="L552" s="31" t="s">
        <v>733</v>
      </c>
      <c r="M552" s="57">
        <v>1</v>
      </c>
      <c r="N552" s="54">
        <v>60</v>
      </c>
      <c r="O552" s="31" t="s">
        <v>287</v>
      </c>
      <c r="P552" s="52">
        <v>20000</v>
      </c>
      <c r="Q552" s="164"/>
      <c r="R552" s="35" t="s">
        <v>114</v>
      </c>
      <c r="S552" s="59">
        <v>0.03</v>
      </c>
      <c r="T552" s="59"/>
      <c r="U552" s="58"/>
      <c r="V552" s="87"/>
      <c r="W552" s="58">
        <f>IF(NOTA[[#This Row],[HARGA/ CTN]]="",NOTA[[#This Row],[JUMLAH_H]],NOTA[[#This Row],[HARGA/ CTN]]*NOTA[[#This Row],[C]])</f>
        <v>1200000</v>
      </c>
      <c r="X552" s="58">
        <f>IF(NOTA[[#This Row],[JUMLAH]]="","",NOTA[[#This Row],[JUMLAH]]*NOTA[[#This Row],[DISC 1]])</f>
        <v>36000</v>
      </c>
      <c r="Y552" s="58">
        <f>IF(NOTA[[#This Row],[JUMLAH]]="","",(NOTA[[#This Row],[JUMLAH]]-NOTA[[#This Row],[DISC 1-]])*NOTA[[#This Row],[DISC 2]])</f>
        <v>0</v>
      </c>
      <c r="Z552" s="58">
        <f>IF(NOTA[[#This Row],[JUMLAH]]="","",NOTA[[#This Row],[DISC 1-]]+NOTA[[#This Row],[DISC 2-]])</f>
        <v>36000</v>
      </c>
      <c r="AA552" s="58">
        <f>IF(NOTA[[#This Row],[JUMLAH]]="","",NOTA[[#This Row],[JUMLAH]]-NOTA[[#This Row],[DISC]])</f>
        <v>1164000</v>
      </c>
      <c r="AB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5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2" s="58">
        <f>IF(OR(NOTA[[#This Row],[QTY]]="",NOTA[[#This Row],[HARGA SATUAN]]="",),"",NOTA[[#This Row],[QTY]]*NOTA[[#This Row],[HARGA SATUAN]])</f>
        <v>1200000</v>
      </c>
      <c r="AF552" s="56">
        <f ca="1">IF(NOTA[ID_H]="","",INDEX(NOTA[TANGGAL],MATCH(,INDIRECT(ADDRESS(ROW(NOTA[TANGGAL]),COLUMN(NOTA[TANGGAL]))&amp;":"&amp;ADDRESS(ROW(),COLUMN(NOTA[TANGGAL]))),-1)))</f>
        <v>44863</v>
      </c>
      <c r="AG552" s="52" t="str">
        <f ca="1">IF(NOTA[[#This Row],[NAMA BARANG]]="","",INDEX(NOTA[SUPPLIER],MATCH(,INDIRECT(ADDRESS(ROW(NOTA[ID]),COLUMN(NOTA[ID]))&amp;":"&amp;ADDRESS(ROW(),COLUMN(NOTA[ID]))),-1)))</f>
        <v>SAHABAT REJEKI</v>
      </c>
      <c r="AH552" s="16" t="str">
        <f ca="1">IF(NOTA[[#This Row],[ID]]="","",COUNTIF(NOTA[ID_H],NOTA[[#This Row],[ID_H]]))</f>
        <v/>
      </c>
      <c r="AI552" s="16">
        <f ca="1"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3" t="str">
        <f>IF(NOTA[[#This Row],[ID_P]]="","",MATCH(NOTA[[#This Row],[ID_P]],[1]!B_MSK[N_ID],0))</f>
        <v/>
      </c>
      <c r="D553" s="53" t="str">
        <f ca="1">IF(NOTA[[#This Row],[NAMA BARANG]]="","",INDEX(NOTA[ID],MATCH(,INDIRECT(ADDRESS(ROW(NOTA[ID]),COLUMN(NOTA[ID]))&amp;":"&amp;ADDRESS(ROW(),COLUMN(NOTA[ID]))),-1)))</f>
        <v/>
      </c>
      <c r="E553" s="60"/>
      <c r="F553" s="54"/>
      <c r="G553" s="54"/>
      <c r="H553" s="55"/>
      <c r="I553" s="54"/>
      <c r="J553" s="56"/>
      <c r="K553" s="54"/>
      <c r="L553" s="31"/>
      <c r="M553" s="57"/>
      <c r="N553" s="54"/>
      <c r="O553" s="31"/>
      <c r="P553" s="52"/>
      <c r="Q553" s="164"/>
      <c r="R553" s="35"/>
      <c r="S553" s="59"/>
      <c r="T553" s="59"/>
      <c r="U553" s="58"/>
      <c r="V553" s="87"/>
      <c r="W553" s="58" t="str">
        <f>IF(NOTA[[#This Row],[HARGA/ CTN]]="",NOTA[[#This Row],[JUMLAH_H]],NOTA[[#This Row],[HARGA/ CTN]]*NOTA[[#This Row],[C]])</f>
        <v/>
      </c>
      <c r="X553" s="58" t="str">
        <f>IF(NOTA[[#This Row],[JUMLAH]]="","",NOTA[[#This Row],[JUMLAH]]*NOTA[[#This Row],[DISC 1]])</f>
        <v/>
      </c>
      <c r="Y553" s="58" t="str">
        <f>IF(NOTA[[#This Row],[JUMLAH]]="","",(NOTA[[#This Row],[JUMLAH]]-NOTA[[#This Row],[DISC 1-]])*NOTA[[#This Row],[DISC 2]])</f>
        <v/>
      </c>
      <c r="Z553" s="58" t="str">
        <f>IF(NOTA[[#This Row],[JUMLAH]]="","",NOTA[[#This Row],[DISC 1-]]+NOTA[[#This Row],[DISC 2-]])</f>
        <v/>
      </c>
      <c r="AA553" s="58" t="str">
        <f>IF(NOTA[[#This Row],[JUMLAH]]="","",NOTA[[#This Row],[JUMLAH]]-NOTA[[#This Row],[DISC]])</f>
        <v/>
      </c>
      <c r="AB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8" t="str">
        <f>IF(OR(NOTA[[#This Row],[QTY]]="",NOTA[[#This Row],[HARGA SATUAN]]="",),"",NOTA[[#This Row],[QTY]]*NOTA[[#This Row],[HARGA SATUAN]])</f>
        <v/>
      </c>
      <c r="AF553" s="56" t="str">
        <f ca="1">IF(NOTA[ID_H]="","",INDEX(NOTA[TANGGAL],MATCH(,INDIRECT(ADDRESS(ROW(NOTA[TANGGAL]),COLUMN(NOTA[TANGGAL]))&amp;":"&amp;ADDRESS(ROW(),COLUMN(NOTA[TANGGAL]))),-1)))</f>
        <v/>
      </c>
      <c r="AG553" s="52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 t="str">
        <f ca="1">IF(NOTA[[#This Row],[TGL.NOTA]]="",IF(NOTA[[#This Row],[SUPPLIER_H]]="","",AI552),MONTH(NOTA[[#This Row],[TGL.NOTA]]))</f>
        <v/>
      </c>
      <c r="AJ553" s="16"/>
    </row>
    <row r="554" spans="1:36" ht="20.100000000000001" customHeight="1" x14ac:dyDescent="0.25">
      <c r="A554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ATA_2910_097-4</v>
      </c>
      <c r="C554" s="39" t="e">
        <f ca="1">IF(NOTA[[#This Row],[ID_P]]="","",MATCH(NOTA[[#This Row],[ID_P]],[1]!B_MSK[N_ID],0))</f>
        <v>#REF!</v>
      </c>
      <c r="D554" s="39">
        <f ca="1">IF(NOTA[[#This Row],[NAMA BARANG]]="","",INDEX(NOTA[ID],MATCH(,INDIRECT(ADDRESS(ROW(NOTA[ID]),COLUMN(NOTA[ID]))&amp;":"&amp;ADDRESS(ROW(),COLUMN(NOTA[ID]))),-1)))</f>
        <v>123</v>
      </c>
      <c r="E554" s="32" t="s">
        <v>797</v>
      </c>
      <c r="F554" s="31" t="s">
        <v>25</v>
      </c>
      <c r="G554" s="31" t="s">
        <v>24</v>
      </c>
      <c r="H554" s="33" t="s">
        <v>779</v>
      </c>
      <c r="I554" s="31"/>
      <c r="J554" s="34">
        <v>44861</v>
      </c>
      <c r="K554" s="31"/>
      <c r="L554" s="31" t="s">
        <v>431</v>
      </c>
      <c r="M554" s="35">
        <v>1</v>
      </c>
      <c r="N554" s="31">
        <v>144</v>
      </c>
      <c r="O554" s="31" t="s">
        <v>88</v>
      </c>
      <c r="P554" s="30">
        <v>4100</v>
      </c>
      <c r="Q554" s="103"/>
      <c r="R554" s="35" t="s">
        <v>432</v>
      </c>
      <c r="S554" s="37">
        <v>0.125</v>
      </c>
      <c r="T554" s="37">
        <v>0.05</v>
      </c>
      <c r="U554" s="36"/>
      <c r="V554" s="87"/>
      <c r="W554" s="36">
        <f>IF(NOTA[[#This Row],[HARGA/ CTN]]="",NOTA[[#This Row],[JUMLAH_H]],NOTA[[#This Row],[HARGA/ CTN]]*NOTA[[#This Row],[C]])</f>
        <v>590400</v>
      </c>
      <c r="X554" s="36">
        <f>IF(NOTA[[#This Row],[JUMLAH]]="","",NOTA[[#This Row],[JUMLAH]]*NOTA[[#This Row],[DISC 1]])</f>
        <v>73800</v>
      </c>
      <c r="Y554" s="36">
        <f>IF(NOTA[[#This Row],[JUMLAH]]="","",(NOTA[[#This Row],[JUMLAH]]-NOTA[[#This Row],[DISC 1-]])*NOTA[[#This Row],[DISC 2]])</f>
        <v>25830</v>
      </c>
      <c r="Z554" s="36">
        <f>IF(NOTA[[#This Row],[JUMLAH]]="","",NOTA[[#This Row],[DISC 1-]]+NOTA[[#This Row],[DISC 2-]])</f>
        <v>99630</v>
      </c>
      <c r="AA554" s="36">
        <f>IF(NOTA[[#This Row],[JUMLAH]]="","",NOTA[[#This Row],[JUMLAH]]-NOTA[[#This Row],[DISC]])</f>
        <v>490770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54" s="36">
        <f>IF(OR(NOTA[[#This Row],[QTY]]="",NOTA[[#This Row],[HARGA SATUAN]]="",),"",NOTA[[#This Row],[QTY]]*NOTA[[#This Row],[HARGA SATUAN]])</f>
        <v>590400</v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ATALI MAKMUR</v>
      </c>
      <c r="AH554" s="16">
        <f ca="1">IF(NOTA[[#This Row],[ID]]="","",COUNTIF(NOTA[ID_H],NOTA[[#This Row],[ID_H]]))</f>
        <v>4</v>
      </c>
      <c r="AI554" s="16">
        <f>IF(NOTA[[#This Row],[TGL.NOTA]]="",IF(NOTA[[#This Row],[SUPPLIER_H]]="","",#REF!),MONTH(NOTA[[#This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471</v>
      </c>
      <c r="M555" s="35">
        <v>2</v>
      </c>
      <c r="N555" s="31">
        <v>288</v>
      </c>
      <c r="O555" s="31" t="s">
        <v>88</v>
      </c>
      <c r="P555" s="30">
        <v>6300</v>
      </c>
      <c r="Q555" s="103"/>
      <c r="R555" s="35" t="s">
        <v>432</v>
      </c>
      <c r="S555" s="37">
        <v>0.125</v>
      </c>
      <c r="T555" s="37">
        <v>0.05</v>
      </c>
      <c r="U555" s="36"/>
      <c r="V555" s="87"/>
      <c r="W555" s="36">
        <f>IF(NOTA[[#This Row],[HARGA/ CTN]]="",NOTA[[#This Row],[JUMLAH_H]],NOTA[[#This Row],[HARGA/ CTN]]*NOTA[[#This Row],[C]])</f>
        <v>1814400</v>
      </c>
      <c r="X555" s="36">
        <f>IF(NOTA[[#This Row],[JUMLAH]]="","",NOTA[[#This Row],[JUMLAH]]*NOTA[[#This Row],[DISC 1]])</f>
        <v>226800</v>
      </c>
      <c r="Y555" s="36">
        <f>IF(NOTA[[#This Row],[JUMLAH]]="","",(NOTA[[#This Row],[JUMLAH]]-NOTA[[#This Row],[DISC 1-]])*NOTA[[#This Row],[DISC 2]])</f>
        <v>79380</v>
      </c>
      <c r="Z555" s="36">
        <f>IF(NOTA[[#This Row],[JUMLAH]]="","",NOTA[[#This Row],[DISC 1-]]+NOTA[[#This Row],[DISC 2-]])</f>
        <v>306180</v>
      </c>
      <c r="AA555" s="36">
        <f>IF(NOTA[[#This Row],[JUMLAH]]="","",NOTA[[#This Row],[JUMLAH]]-NOTA[[#This Row],[DISC]])</f>
        <v>1508220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55" s="36">
        <f>IF(OR(NOTA[[#This Row],[QTY]]="",NOTA[[#This Row],[HARGA SATUAN]]="",),"",NOTA[[#This Row],[QTY]]*NOTA[[#This Row],[HARGA SATUAN]])</f>
        <v>1814400</v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ATALI MAKMUR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705</v>
      </c>
      <c r="M556" s="35">
        <v>1</v>
      </c>
      <c r="N556" s="31">
        <v>48</v>
      </c>
      <c r="O556" s="31" t="s">
        <v>287</v>
      </c>
      <c r="P556" s="30">
        <v>31200</v>
      </c>
      <c r="Q556" s="103"/>
      <c r="R556" s="35" t="s">
        <v>706</v>
      </c>
      <c r="S556" s="37">
        <v>0.125</v>
      </c>
      <c r="T556" s="37">
        <v>0.05</v>
      </c>
      <c r="U556" s="36"/>
      <c r="V556" s="87"/>
      <c r="W556" s="36">
        <f>IF(NOTA[[#This Row],[HARGA/ CTN]]="",NOTA[[#This Row],[JUMLAH_H]],NOTA[[#This Row],[HARGA/ CTN]]*NOTA[[#This Row],[C]])</f>
        <v>1497600</v>
      </c>
      <c r="X556" s="36">
        <f>IF(NOTA[[#This Row],[JUMLAH]]="","",NOTA[[#This Row],[JUMLAH]]*NOTA[[#This Row],[DISC 1]])</f>
        <v>187200</v>
      </c>
      <c r="Y556" s="36">
        <f>IF(NOTA[[#This Row],[JUMLAH]]="","",(NOTA[[#This Row],[JUMLAH]]-NOTA[[#This Row],[DISC 1-]])*NOTA[[#This Row],[DISC 2]])</f>
        <v>65520</v>
      </c>
      <c r="Z556" s="36">
        <f>IF(NOTA[[#This Row],[JUMLAH]]="","",NOTA[[#This Row],[DISC 1-]]+NOTA[[#This Row],[DISC 2-]])</f>
        <v>252720</v>
      </c>
      <c r="AA556" s="36">
        <f>IF(NOTA[[#This Row],[JUMLAH]]="","",NOTA[[#This Row],[JUMLAH]]-NOTA[[#This Row],[DISC]])</f>
        <v>1244880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56" s="36">
        <f>IF(OR(NOTA[[#This Row],[QTY]]="",NOTA[[#This Row],[HARGA SATUAN]]="",),"",NOTA[[#This Row],[QTY]]*NOTA[[#This Row],[HARGA SATUAN]])</f>
        <v>1497600</v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ATALI MAKMUR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707</v>
      </c>
      <c r="M557" s="35">
        <v>1</v>
      </c>
      <c r="N557" s="31">
        <v>144</v>
      </c>
      <c r="O557" s="31" t="s">
        <v>204</v>
      </c>
      <c r="P557" s="30">
        <v>10600</v>
      </c>
      <c r="Q557" s="103"/>
      <c r="R557" s="35" t="s">
        <v>284</v>
      </c>
      <c r="S557" s="37">
        <v>0.125</v>
      </c>
      <c r="T557" s="37">
        <v>0.05</v>
      </c>
      <c r="U557" s="36"/>
      <c r="V557" s="87"/>
      <c r="W557" s="36">
        <f>IF(NOTA[[#This Row],[HARGA/ CTN]]="",NOTA[[#This Row],[JUMLAH_H]],NOTA[[#This Row],[HARGA/ CTN]]*NOTA[[#This Row],[C]])</f>
        <v>1526400</v>
      </c>
      <c r="X557" s="36">
        <f>IF(NOTA[[#This Row],[JUMLAH]]="","",NOTA[[#This Row],[JUMLAH]]*NOTA[[#This Row],[DISC 1]])</f>
        <v>190800</v>
      </c>
      <c r="Y557" s="36">
        <f>IF(NOTA[[#This Row],[JUMLAH]]="","",(NOTA[[#This Row],[JUMLAH]]-NOTA[[#This Row],[DISC 1-]])*NOTA[[#This Row],[DISC 2]])</f>
        <v>66780</v>
      </c>
      <c r="Z557" s="36">
        <f>IF(NOTA[[#This Row],[JUMLAH]]="","",NOTA[[#This Row],[DISC 1-]]+NOTA[[#This Row],[DISC 2-]])</f>
        <v>257580</v>
      </c>
      <c r="AA557" s="36">
        <f>IF(NOTA[[#This Row],[JUMLAH]]="","",NOTA[[#This Row],[JUMLAH]]-NOTA[[#This Row],[DISC]])</f>
        <v>1268820</v>
      </c>
      <c r="AB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57" s="36">
        <f>IF(OR(NOTA[[#This Row],[QTY]]="",NOTA[[#This Row],[HARGA SATUAN]]="",),"",NOTA[[#This Row],[QTY]]*NOTA[[#This Row],[HARGA SATUAN]])</f>
        <v>1526400</v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ATALI MAKMUR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 t="str">
        <f ca="1">IF(NOTA[[#This Row],[NAMA BARANG]]="","",INDEX(NOTA[ID],MATCH(,INDIRECT(ADDRESS(ROW(NOTA[ID]),COLUMN(NOTA[ID]))&amp;":"&amp;ADDRESS(ROW(),COLUMN(NOTA[ID]))),-1)))</f>
        <v/>
      </c>
      <c r="E558" s="32"/>
      <c r="F558" s="31"/>
      <c r="G558" s="31"/>
      <c r="H558" s="33"/>
      <c r="I558" s="31"/>
      <c r="J558" s="34"/>
      <c r="K558" s="31"/>
      <c r="L558" s="31"/>
      <c r="M558" s="35"/>
      <c r="N558" s="31"/>
      <c r="O558" s="31"/>
      <c r="P558" s="30"/>
      <c r="Q558" s="103"/>
      <c r="R558" s="35"/>
      <c r="S558" s="37"/>
      <c r="T558" s="37"/>
      <c r="U558" s="36"/>
      <c r="V558" s="87"/>
      <c r="W558" s="36" t="str">
        <f>IF(NOTA[[#This Row],[HARGA/ CTN]]="",NOTA[[#This Row],[JUMLAH_H]],NOTA[[#This Row],[HARGA/ CTN]]*NOTA[[#This Row],[C]])</f>
        <v/>
      </c>
      <c r="X558" s="36" t="str">
        <f>IF(NOTA[[#This Row],[JUMLAH]]="","",NOTA[[#This Row],[JUMLAH]]*NOTA[[#This Row],[DISC 1]])</f>
        <v/>
      </c>
      <c r="Y558" s="36" t="str">
        <f>IF(NOTA[[#This Row],[JUMLAH]]="","",(NOTA[[#This Row],[JUMLAH]]-NOTA[[#This Row],[DISC 1-]])*NOTA[[#This Row],[DISC 2]])</f>
        <v/>
      </c>
      <c r="Z558" s="36" t="str">
        <f>IF(NOTA[[#This Row],[JUMLAH]]="","",NOTA[[#This Row],[DISC 1-]]+NOTA[[#This Row],[DISC 2-]])</f>
        <v/>
      </c>
      <c r="AA558" s="36" t="str">
        <f>IF(NOTA[[#This Row],[JUMLAH]]="","",NOTA[[#This Row],[JUMLAH]]-NOTA[[#This Row],[DISC]])</f>
        <v/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6" t="str">
        <f>IF(OR(NOTA[[#This Row],[QTY]]="",NOTA[[#This Row],[HARGA SATUAN]]="",),"",NOTA[[#This Row],[QTY]]*NOTA[[#This Row],[HARGA SATUAN]])</f>
        <v/>
      </c>
      <c r="AF558" s="34" t="str">
        <f ca="1">IF(NOTA[ID_H]="","",INDEX(NOTA[TANGGAL],MATCH(,INDIRECT(ADDRESS(ROW(NOTA[TANGGAL]),COLUMN(NOTA[TANGGAL]))&amp;":"&amp;ADDRESS(ROW(),COLUMN(NOTA[TANGGAL]))),-1)))</f>
        <v/>
      </c>
      <c r="AG558" s="30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 t="str">
        <f ca="1">IF(NOTA[[#This Row],[TGL.NOTA]]="",IF(NOTA[[#This Row],[SUPPLIER_H]]="","",AI557),MONTH(NOTA[[#This Row],[TGL.NOTA]]))</f>
        <v/>
      </c>
      <c r="AJ558" s="16"/>
    </row>
    <row r="559" spans="1:36" ht="20.100000000000001" customHeight="1" x14ac:dyDescent="0.25">
      <c r="A559" s="52">
        <f ca="1">IF(INDIRECT(ADDRESS(ROW()-1,COLUMN(NOTA[[#Headers],[ID]])))="ID",1,IF(NOTA[[#This Row],[FAKTUR]]="","",COUNT(INDIRECT(ADDRESS(ROW(NOTA[ID]),COLUMN(NOTA[ID]))&amp;":"&amp;ADDRESS(ROW()-1,COLUMN(NOTA[ID]))))+1))</f>
        <v>124</v>
      </c>
      <c r="B55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59" s="53" t="e">
        <f ca="1">IF(NOTA[[#This Row],[ID_P]]="","",MATCH(NOTA[[#This Row],[ID_P]],[1]!B_MSK[N_ID],0))</f>
        <v>#REF!</v>
      </c>
      <c r="D559" s="53">
        <f ca="1">IF(NOTA[[#This Row],[NAMA BARANG]]="","",INDEX(NOTA[ID],MATCH(,INDIRECT(ADDRESS(ROW(NOTA[ID]),COLUMN(NOTA[ID]))&amp;":"&amp;ADDRESS(ROW(),COLUMN(NOTA[ID]))),-1)))</f>
        <v>124</v>
      </c>
      <c r="E559" s="60">
        <v>44866</v>
      </c>
      <c r="F559" s="31" t="s">
        <v>734</v>
      </c>
      <c r="G559" s="31" t="s">
        <v>87</v>
      </c>
      <c r="H559" s="33" t="s">
        <v>735</v>
      </c>
      <c r="I559" s="54"/>
      <c r="J559" s="56">
        <v>44861</v>
      </c>
      <c r="K559" s="54"/>
      <c r="L559" s="31" t="s">
        <v>736</v>
      </c>
      <c r="M559" s="57">
        <v>1</v>
      </c>
      <c r="N559" s="54">
        <v>240</v>
      </c>
      <c r="O559" s="31" t="s">
        <v>88</v>
      </c>
      <c r="P559" s="52">
        <v>12000</v>
      </c>
      <c r="Q559" s="164"/>
      <c r="R559" s="35" t="s">
        <v>92</v>
      </c>
      <c r="S559" s="59"/>
      <c r="T559" s="59"/>
      <c r="U559" s="58"/>
      <c r="V559" s="87"/>
      <c r="W559" s="58">
        <f>IF(NOTA[[#This Row],[HARGA/ CTN]]="",NOTA[[#This Row],[JUMLAH_H]],NOTA[[#This Row],[HARGA/ CTN]]*NOTA[[#This Row],[C]])</f>
        <v>2880000</v>
      </c>
      <c r="X559" s="58">
        <f>IF(NOTA[[#This Row],[JUMLAH]]="","",NOTA[[#This Row],[JUMLAH]]*NOTA[[#This Row],[DISC 1]])</f>
        <v>0</v>
      </c>
      <c r="Y559" s="58">
        <f>IF(NOTA[[#This Row],[JUMLAH]]="","",(NOTA[[#This Row],[JUMLAH]]-NOTA[[#This Row],[DISC 1-]])*NOTA[[#This Row],[DISC 2]])</f>
        <v>0</v>
      </c>
      <c r="Z559" s="58">
        <f>IF(NOTA[[#This Row],[JUMLAH]]="","",NOTA[[#This Row],[DISC 1-]]+NOTA[[#This Row],[DISC 2-]])</f>
        <v>0</v>
      </c>
      <c r="AA559" s="58">
        <f>IF(NOTA[[#This Row],[JUMLAH]]="","",NOTA[[#This Row],[JUMLAH]]-NOTA[[#This Row],[DISC]])</f>
        <v>2880000</v>
      </c>
      <c r="AB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59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9" s="58">
        <f>IF(OR(NOTA[[#This Row],[QTY]]="",NOTA[[#This Row],[HARGA SATUAN]]="",),"",NOTA[[#This Row],[QTY]]*NOTA[[#This Row],[HARGA SATUAN]])</f>
        <v>2880000</v>
      </c>
      <c r="AF559" s="56">
        <f ca="1">IF(NOTA[ID_H]="","",INDEX(NOTA[TANGGAL],MATCH(,INDIRECT(ADDRESS(ROW(NOTA[TANGGAL]),COLUMN(NOTA[TANGGAL]))&amp;":"&amp;ADDRESS(ROW(),COLUMN(NOTA[TANGGAL]))),-1)))</f>
        <v>44866</v>
      </c>
      <c r="AG559" s="52" t="str">
        <f ca="1">IF(NOTA[[#This Row],[NAMA BARANG]]="","",INDEX(NOTA[SUPPLIER],MATCH(,INDIRECT(ADDRESS(ROW(NOTA[ID]),COLUMN(NOTA[ID]))&amp;":"&amp;ADDRESS(ROW(),COLUMN(NOTA[ID]))),-1)))</f>
        <v>DUTA BAHAGIA</v>
      </c>
      <c r="AH559" s="16">
        <f ca="1">IF(NOTA[[#This Row],[ID]]="","",COUNTIF(NOTA[ID_H],NOTA[[#This Row],[ID_H]]))</f>
        <v>1</v>
      </c>
      <c r="AI559" s="16">
        <f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3" t="str">
        <f>IF(NOTA[[#This Row],[ID_P]]="","",MATCH(NOTA[[#This Row],[ID_P]],[1]!B_MSK[N_ID],0))</f>
        <v/>
      </c>
      <c r="D560" s="53" t="str">
        <f ca="1">IF(NOTA[[#This Row],[NAMA BARANG]]="","",INDEX(NOTA[ID],MATCH(,INDIRECT(ADDRESS(ROW(NOTA[ID]),COLUMN(NOTA[ID]))&amp;":"&amp;ADDRESS(ROW(),COLUMN(NOTA[ID]))),-1)))</f>
        <v/>
      </c>
      <c r="E560" s="60"/>
      <c r="F560" s="54"/>
      <c r="G560" s="54"/>
      <c r="H560" s="55"/>
      <c r="I560" s="54"/>
      <c r="J560" s="56"/>
      <c r="K560" s="54"/>
      <c r="L560" s="31"/>
      <c r="M560" s="57"/>
      <c r="N560" s="54"/>
      <c r="O560" s="31"/>
      <c r="P560" s="52"/>
      <c r="Q560" s="164"/>
      <c r="R560" s="35"/>
      <c r="S560" s="59"/>
      <c r="T560" s="59"/>
      <c r="U560" s="58"/>
      <c r="V560" s="87"/>
      <c r="W560" s="58" t="str">
        <f>IF(NOTA[[#This Row],[HARGA/ CTN]]="",NOTA[[#This Row],[JUMLAH_H]],NOTA[[#This Row],[HARGA/ CTN]]*NOTA[[#This Row],[C]])</f>
        <v/>
      </c>
      <c r="X560" s="58" t="str">
        <f>IF(NOTA[[#This Row],[JUMLAH]]="","",NOTA[[#This Row],[JUMLAH]]*NOTA[[#This Row],[DISC 1]])</f>
        <v/>
      </c>
      <c r="Y560" s="58" t="str">
        <f>IF(NOTA[[#This Row],[JUMLAH]]="","",(NOTA[[#This Row],[JUMLAH]]-NOTA[[#This Row],[DISC 1-]])*NOTA[[#This Row],[DISC 2]])</f>
        <v/>
      </c>
      <c r="Z560" s="58" t="str">
        <f>IF(NOTA[[#This Row],[JUMLAH]]="","",NOTA[[#This Row],[DISC 1-]]+NOTA[[#This Row],[DISC 2-]])</f>
        <v/>
      </c>
      <c r="AA560" s="58" t="str">
        <f>IF(NOTA[[#This Row],[JUMLAH]]="","",NOTA[[#This Row],[JUMLAH]]-NOTA[[#This Row],[DISC]])</f>
        <v/>
      </c>
      <c r="AB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8" t="str">
        <f>IF(OR(NOTA[[#This Row],[QTY]]="",NOTA[[#This Row],[HARGA SATUAN]]="",),"",NOTA[[#This Row],[QTY]]*NOTA[[#This Row],[HARGA SATUAN]])</f>
        <v/>
      </c>
      <c r="AF560" s="56" t="str">
        <f ca="1">IF(NOTA[ID_H]="","",INDEX(NOTA[TANGGAL],MATCH(,INDIRECT(ADDRESS(ROW(NOTA[TANGGAL]),COLUMN(NOTA[TANGGAL]))&amp;":"&amp;ADDRESS(ROW(),COLUMN(NOTA[TANGGAL]))),-1)))</f>
        <v/>
      </c>
      <c r="AG560" s="52" t="str">
        <f ca="1">IF(NOTA[[#This Row],[NAMA BARANG]]="","",INDEX(NOTA[SUPPLIER],MATCH(,INDIRECT(ADDRESS(ROW(NOTA[ID]),COLUMN(NOTA[ID]))&amp;":"&amp;ADDRESS(ROW(),COLUMN(NOTA[ID]))),-1)))</f>
        <v/>
      </c>
      <c r="AH560" s="16" t="str">
        <f ca="1">IF(NOTA[[#This Row],[ID]]="","",COUNTIF(NOTA[ID_H],NOTA[[#This Row],[ID_H]]))</f>
        <v/>
      </c>
      <c r="AI560" s="16" t="str">
        <f ca="1">IF(NOTA[[#This Row],[TGL.NOTA]]="",IF(NOTA[[#This Row],[SUPPLIER_H]]="","",AI559),MONTH(NOTA[[#This Row],[TGL.NOTA]]))</f>
        <v/>
      </c>
      <c r="AJ560" s="16"/>
    </row>
    <row r="561" spans="1:36" ht="20.100000000000001" customHeight="1" x14ac:dyDescent="0.25">
      <c r="A561" s="52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561" s="53" t="e">
        <f ca="1">IF(NOTA[[#This Row],[ID_P]]="","",MATCH(NOTA[[#This Row],[ID_P]],[1]!B_MSK[N_ID],0))</f>
        <v>#REF!</v>
      </c>
      <c r="D561" s="53">
        <f ca="1">IF(NOTA[[#This Row],[NAMA BARANG]]="","",INDEX(NOTA[ID],MATCH(,INDIRECT(ADDRESS(ROW(NOTA[ID]),COLUMN(NOTA[ID]))&amp;":"&amp;ADDRESS(ROW(),COLUMN(NOTA[ID]))),-1)))</f>
        <v>125</v>
      </c>
      <c r="E561" s="60"/>
      <c r="F561" s="31" t="s">
        <v>737</v>
      </c>
      <c r="G561" s="31" t="s">
        <v>87</v>
      </c>
      <c r="H561" s="33" t="s">
        <v>738</v>
      </c>
      <c r="I561" s="54"/>
      <c r="J561" s="56">
        <v>44859</v>
      </c>
      <c r="K561" s="54"/>
      <c r="L561" s="31" t="s">
        <v>739</v>
      </c>
      <c r="M561" s="57">
        <v>1</v>
      </c>
      <c r="N561" s="54">
        <v>96</v>
      </c>
      <c r="O561" s="31" t="s">
        <v>88</v>
      </c>
      <c r="P561" s="52">
        <v>8400</v>
      </c>
      <c r="Q561" s="164"/>
      <c r="R561" s="35" t="s">
        <v>410</v>
      </c>
      <c r="S561" s="59"/>
      <c r="T561" s="59"/>
      <c r="U561" s="58"/>
      <c r="V561" s="87"/>
      <c r="W561" s="58">
        <f>IF(NOTA[[#This Row],[HARGA/ CTN]]="",NOTA[[#This Row],[JUMLAH_H]],NOTA[[#This Row],[HARGA/ CTN]]*NOTA[[#This Row],[C]])</f>
        <v>806400</v>
      </c>
      <c r="X561" s="58">
        <f>IF(NOTA[[#This Row],[JUMLAH]]="","",NOTA[[#This Row],[JUMLAH]]*NOTA[[#This Row],[DISC 1]])</f>
        <v>0</v>
      </c>
      <c r="Y561" s="58">
        <f>IF(NOTA[[#This Row],[JUMLAH]]="","",(NOTA[[#This Row],[JUMLAH]]-NOTA[[#This Row],[DISC 1-]])*NOTA[[#This Row],[DISC 2]])</f>
        <v>0</v>
      </c>
      <c r="Z561" s="58">
        <f>IF(NOTA[[#This Row],[JUMLAH]]="","",NOTA[[#This Row],[DISC 1-]]+NOTA[[#This Row],[DISC 2-]])</f>
        <v>0</v>
      </c>
      <c r="AA561" s="58">
        <f>IF(NOTA[[#This Row],[JUMLAH]]="","",NOTA[[#This Row],[JUMLAH]]-NOTA[[#This Row],[DISC]])</f>
        <v>806400</v>
      </c>
      <c r="AB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561" s="58">
        <f>IF(OR(NOTA[[#This Row],[QTY]]="",NOTA[[#This Row],[HARGA SATUAN]]="",),"",NOTA[[#This Row],[QTY]]*NOTA[[#This Row],[HARGA SATUAN]])</f>
        <v>806400</v>
      </c>
      <c r="AF561" s="56">
        <f ca="1">IF(NOTA[ID_H]="","",INDEX(NOTA[TANGGAL],MATCH(,INDIRECT(ADDRESS(ROW(NOTA[TANGGAL]),COLUMN(NOTA[TANGGAL]))&amp;":"&amp;ADDRESS(ROW(),COLUMN(NOTA[TANGGAL]))),-1)))</f>
        <v>44866</v>
      </c>
      <c r="AG561" s="52" t="str">
        <f ca="1">IF(NOTA[[#This Row],[NAMA BARANG]]="","",INDEX(NOTA[SUPPLIER],MATCH(,INDIRECT(ADDRESS(ROW(NOTA[ID]),COLUMN(NOTA[ID]))&amp;":"&amp;ADDRESS(ROW(),COLUMN(NOTA[ID]))),-1)))</f>
        <v>GM TDS</v>
      </c>
      <c r="AH561" s="16">
        <f ca="1">IF(NOTA[[#This Row],[ID]]="","",COUNTIF(NOTA[ID_H],NOTA[[#This Row],[ID_H]]))</f>
        <v>2</v>
      </c>
      <c r="AI561" s="16">
        <f>IF(NOTA[[#This Row],[TGL.NOTA]]="",IF(NOTA[[#This Row],[SUPPLIER_H]]="","",AI560),MONTH(NOTA[[#This Row],[TGL.NOTA]]))</f>
        <v>10</v>
      </c>
      <c r="AJ561" s="16"/>
    </row>
    <row r="562" spans="1:36" s="114" customFormat="1" ht="20.100000000000001" customHeight="1" x14ac:dyDescent="0.25">
      <c r="A56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5" t="str">
        <f>IF(NOTA[[#This Row],[ID_P]]="","",MATCH(NOTA[[#This Row],[ID_P]],[1]!B_MSK[N_ID],0))</f>
        <v/>
      </c>
      <c r="D562" s="105">
        <f ca="1">IF(NOTA[[#This Row],[NAMA BARANG]]="","",INDEX(NOTA[ID],MATCH(,INDIRECT(ADDRESS(ROW(NOTA[ID]),COLUMN(NOTA[ID]))&amp;":"&amp;ADDRESS(ROW(),COLUMN(NOTA[ID]))),-1)))</f>
        <v>125</v>
      </c>
      <c r="E562" s="106"/>
      <c r="F562" s="66"/>
      <c r="G562" s="66"/>
      <c r="H562" s="107"/>
      <c r="I562" s="108"/>
      <c r="J562" s="109"/>
      <c r="K562" s="108"/>
      <c r="L562" s="66" t="s">
        <v>740</v>
      </c>
      <c r="M562" s="110">
        <v>1</v>
      </c>
      <c r="N562" s="108">
        <v>48</v>
      </c>
      <c r="O562" s="66" t="s">
        <v>88</v>
      </c>
      <c r="P562" s="104">
        <v>25300</v>
      </c>
      <c r="Q562" s="165"/>
      <c r="R562" s="115" t="s">
        <v>741</v>
      </c>
      <c r="S562" s="111"/>
      <c r="T562" s="111"/>
      <c r="U562" s="112"/>
      <c r="V562" s="113"/>
      <c r="W562" s="112">
        <f>IF(NOTA[[#This Row],[HARGA/ CTN]]="",NOTA[[#This Row],[JUMLAH_H]],NOTA[[#This Row],[HARGA/ CTN]]*NOTA[[#This Row],[C]])</f>
        <v>1214400</v>
      </c>
      <c r="X562" s="112">
        <f>IF(NOTA[[#This Row],[JUMLAH]]="","",NOTA[[#This Row],[JUMLAH]]*NOTA[[#This Row],[DISC 1]])</f>
        <v>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0</v>
      </c>
      <c r="AA562" s="112">
        <f>IF(NOTA[[#This Row],[JUMLAH]]="","",NOTA[[#This Row],[JUMLAH]]-NOTA[[#This Row],[DISC]])</f>
        <v>1214400</v>
      </c>
      <c r="AB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562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562" s="112">
        <f>IF(OR(NOTA[[#This Row],[QTY]]="",NOTA[[#This Row],[HARGA SATUAN]]="",),"",NOTA[[#This Row],[QTY]]*NOTA[[#This Row],[HARGA SATUAN]])</f>
        <v>1214400</v>
      </c>
      <c r="AF562" s="109">
        <f ca="1">IF(NOTA[ID_H]="","",INDEX(NOTA[TANGGAL],MATCH(,INDIRECT(ADDRESS(ROW(NOTA[TANGGAL]),COLUMN(NOTA[TANGGAL]))&amp;":"&amp;ADDRESS(ROW(),COLUMN(NOTA[TANGGAL]))),-1)))</f>
        <v>44866</v>
      </c>
      <c r="AG562" s="104" t="str">
        <f ca="1">IF(NOTA[[#This Row],[NAMA BARANG]]="","",INDEX(NOTA[SUPPLIER],MATCH(,INDIRECT(ADDRESS(ROW(NOTA[ID]),COLUMN(NOTA[ID]))&amp;":"&amp;ADDRESS(ROW(),COLUMN(NOTA[ID]))),-1)))</f>
        <v>GM TDS</v>
      </c>
      <c r="AH562" s="114" t="str">
        <f ca="1">IF(NOTA[[#This Row],[ID]]="","",COUNTIF(NOTA[ID_H],NOTA[[#This Row],[ID_H]]))</f>
        <v/>
      </c>
      <c r="AI562" s="114">
        <f ca="1">IF(NOTA[[#This Row],[TGL.NOTA]]="",IF(NOTA[[#This Row],[SUPPLIER_H]]="","",AI561),MONTH(NOTA[[#This Row],[TGL.NOTA]]))</f>
        <v>10</v>
      </c>
    </row>
    <row r="563" spans="1:36" s="114" customFormat="1" ht="20.100000000000001" customHeight="1" x14ac:dyDescent="0.25">
      <c r="A563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5" t="str">
        <f>IF(NOTA[[#This Row],[ID_P]]="","",MATCH(NOTA[[#This Row],[ID_P]],[1]!B_MSK[N_ID],0))</f>
        <v/>
      </c>
      <c r="D563" s="105" t="str">
        <f ca="1">IF(NOTA[[#This Row],[NAMA BARANG]]="","",INDEX(NOTA[ID],MATCH(,INDIRECT(ADDRESS(ROW(NOTA[ID]),COLUMN(NOTA[ID]))&amp;":"&amp;ADDRESS(ROW(),COLUMN(NOTA[ID]))),-1)))</f>
        <v/>
      </c>
      <c r="E563" s="106"/>
      <c r="F563" s="66"/>
      <c r="G563" s="66"/>
      <c r="H563" s="107"/>
      <c r="I563" s="108"/>
      <c r="J563" s="109"/>
      <c r="K563" s="108"/>
      <c r="L563" s="66"/>
      <c r="M563" s="110"/>
      <c r="N563" s="108"/>
      <c r="O563" s="66"/>
      <c r="P563" s="104"/>
      <c r="Q563" s="165"/>
      <c r="R563" s="115"/>
      <c r="S563" s="111"/>
      <c r="T563" s="111"/>
      <c r="U563" s="112"/>
      <c r="V563" s="113"/>
      <c r="W563" s="112" t="str">
        <f>IF(NOTA[[#This Row],[HARGA/ CTN]]="",NOTA[[#This Row],[JUMLAH_H]],NOTA[[#This Row],[HARGA/ CTN]]*NOTA[[#This Row],[C]])</f>
        <v/>
      </c>
      <c r="X563" s="112" t="str">
        <f>IF(NOTA[[#This Row],[JUMLAH]]="","",NOTA[[#This Row],[JUMLAH]]*NOTA[[#This Row],[DISC 1]])</f>
        <v/>
      </c>
      <c r="Y563" s="112" t="str">
        <f>IF(NOTA[[#This Row],[JUMLAH]]="","",(NOTA[[#This Row],[JUMLAH]]-NOTA[[#This Row],[DISC 1-]])*NOTA[[#This Row],[DISC 2]])</f>
        <v/>
      </c>
      <c r="Z563" s="112" t="str">
        <f>IF(NOTA[[#This Row],[JUMLAH]]="","",NOTA[[#This Row],[DISC 1-]]+NOTA[[#This Row],[DISC 2-]])</f>
        <v/>
      </c>
      <c r="AA563" s="112" t="str">
        <f>IF(NOTA[[#This Row],[JUMLAH]]="","",NOTA[[#This Row],[JUMLAH]]-NOTA[[#This Row],[DISC]])</f>
        <v/>
      </c>
      <c r="AB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112" t="str">
        <f>IF(OR(NOTA[[#This Row],[QTY]]="",NOTA[[#This Row],[HARGA SATUAN]]="",),"",NOTA[[#This Row],[QTY]]*NOTA[[#This Row],[HARGA SATUAN]])</f>
        <v/>
      </c>
      <c r="AF563" s="109" t="str">
        <f ca="1">IF(NOTA[ID_H]="","",INDEX(NOTA[TANGGAL],MATCH(,INDIRECT(ADDRESS(ROW(NOTA[TANGGAL]),COLUMN(NOTA[TANGGAL]))&amp;":"&amp;ADDRESS(ROW(),COLUMN(NOTA[TANGGAL]))),-1)))</f>
        <v/>
      </c>
      <c r="AG563" s="104" t="str">
        <f ca="1">IF(NOTA[[#This Row],[NAMA BARANG]]="","",INDEX(NOTA[SUPPLIER],MATCH(,INDIRECT(ADDRESS(ROW(NOTA[ID]),COLUMN(NOTA[ID]))&amp;":"&amp;ADDRESS(ROW(),COLUMN(NOTA[ID]))),-1)))</f>
        <v/>
      </c>
      <c r="AH563" s="114" t="str">
        <f ca="1">IF(NOTA[[#This Row],[ID]]="","",COUNTIF(NOTA[ID_H],NOTA[[#This Row],[ID_H]]))</f>
        <v/>
      </c>
      <c r="AI563" s="114" t="str">
        <f ca="1">IF(NOTA[[#This Row],[TGL.NOTA]]="",IF(NOTA[[#This Row],[SUPPLIER_H]]="","",AI562),MONTH(NOTA[[#This Row],[TGL.NOTA]]))</f>
        <v/>
      </c>
    </row>
    <row r="564" spans="1:36" s="114" customFormat="1" ht="20.100000000000001" customHeight="1" x14ac:dyDescent="0.25">
      <c r="A564" s="104">
        <f ca="1">IF(INDIRECT(ADDRESS(ROW()-1,COLUMN(NOTA[[#Headers],[ID]])))="ID",1,IF(NOTA[[#This Row],[FAKTUR]]="","",COUNT(INDIRECT(ADDRESS(ROW(NOTA[ID]),COLUMN(NOTA[ID]))&amp;":"&amp;ADDRESS(ROW()-1,COLUMN(NOTA[ID]))))+1))</f>
        <v>126</v>
      </c>
      <c r="B564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564" s="105" t="e">
        <f ca="1">IF(NOTA[[#This Row],[ID_P]]="","",MATCH(NOTA[[#This Row],[ID_P]],[1]!B_MSK[N_ID],0))</f>
        <v>#REF!</v>
      </c>
      <c r="D564" s="105">
        <f ca="1">IF(NOTA[[#This Row],[NAMA BARANG]]="","",INDEX(NOTA[ID],MATCH(,INDIRECT(ADDRESS(ROW(NOTA[ID]),COLUMN(NOTA[ID]))&amp;":"&amp;ADDRESS(ROW(),COLUMN(NOTA[ID]))),-1)))</f>
        <v>126</v>
      </c>
      <c r="E564" s="106">
        <v>44867</v>
      </c>
      <c r="F564" s="66" t="s">
        <v>25</v>
      </c>
      <c r="G564" s="66" t="s">
        <v>24</v>
      </c>
      <c r="H564" s="107" t="s">
        <v>742</v>
      </c>
      <c r="I564" s="108"/>
      <c r="J564" s="109">
        <v>44863</v>
      </c>
      <c r="K564" s="108"/>
      <c r="L564" s="66" t="s">
        <v>743</v>
      </c>
      <c r="M564" s="110">
        <v>1</v>
      </c>
      <c r="N564" s="108">
        <v>720</v>
      </c>
      <c r="O564" s="66" t="s">
        <v>88</v>
      </c>
      <c r="P564" s="104">
        <v>3700</v>
      </c>
      <c r="Q564" s="165"/>
      <c r="R564" s="115" t="s">
        <v>744</v>
      </c>
      <c r="S564" s="111">
        <v>0.125</v>
      </c>
      <c r="T564" s="111">
        <v>0.05</v>
      </c>
      <c r="U564" s="112"/>
      <c r="V564" s="113"/>
      <c r="W564" s="112">
        <f>IF(NOTA[[#This Row],[HARGA/ CTN]]="",NOTA[[#This Row],[JUMLAH_H]],NOTA[[#This Row],[HARGA/ CTN]]*NOTA[[#This Row],[C]])</f>
        <v>2664000</v>
      </c>
      <c r="X564" s="112">
        <f>IF(NOTA[[#This Row],[JUMLAH]]="","",NOTA[[#This Row],[JUMLAH]]*NOTA[[#This Row],[DISC 1]])</f>
        <v>333000</v>
      </c>
      <c r="Y564" s="112">
        <f>IF(NOTA[[#This Row],[JUMLAH]]="","",(NOTA[[#This Row],[JUMLAH]]-NOTA[[#This Row],[DISC 1-]])*NOTA[[#This Row],[DISC 2]])</f>
        <v>116550</v>
      </c>
      <c r="Z564" s="112">
        <f>IF(NOTA[[#This Row],[JUMLAH]]="","",NOTA[[#This Row],[DISC 1-]]+NOTA[[#This Row],[DISC 2-]])</f>
        <v>449550</v>
      </c>
      <c r="AA564" s="112">
        <f>IF(NOTA[[#This Row],[JUMLAH]]="","",NOTA[[#This Row],[JUMLAH]]-NOTA[[#This Row],[DISC]])</f>
        <v>2214450</v>
      </c>
      <c r="AB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564" s="112">
        <f>IF(OR(NOTA[[#This Row],[QTY]]="",NOTA[[#This Row],[HARGA SATUAN]]="",),"",NOTA[[#This Row],[QTY]]*NOTA[[#This Row],[HARGA SATUAN]])</f>
        <v>2664000</v>
      </c>
      <c r="AF564" s="109">
        <f ca="1">IF(NOTA[ID_H]="","",INDEX(NOTA[TANGGAL],MATCH(,INDIRECT(ADDRESS(ROW(NOTA[TANGGAL]),COLUMN(NOTA[TANGGAL]))&amp;":"&amp;ADDRESS(ROW(),COLUMN(NOTA[TANGGAL]))),-1)))</f>
        <v>44867</v>
      </c>
      <c r="AG564" s="104" t="str">
        <f ca="1">IF(NOTA[[#This Row],[NAMA BARANG]]="","",INDEX(NOTA[SUPPLIER],MATCH(,INDIRECT(ADDRESS(ROW(NOTA[ID]),COLUMN(NOTA[ID]))&amp;":"&amp;ADDRESS(ROW(),COLUMN(NOTA[ID]))),-1)))</f>
        <v>ATALI MAKMUR</v>
      </c>
      <c r="AH564" s="114">
        <f ca="1">IF(NOTA[[#This Row],[ID]]="","",COUNTIF(NOTA[ID_H],NOTA[[#This Row],[ID_H]]))</f>
        <v>5</v>
      </c>
      <c r="AI564" s="114">
        <f>IF(NOTA[[#This Row],[TGL.NOTA]]="",IF(NOTA[[#This Row],[SUPPLIER_H]]="","",AI563),MONTH(NOTA[[#This Row],[TGL.NOTA]]))</f>
        <v>10</v>
      </c>
    </row>
    <row r="565" spans="1:36" s="114" customFormat="1" ht="20.100000000000001" customHeight="1" x14ac:dyDescent="0.25">
      <c r="A565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5" t="str">
        <f>IF(NOTA[[#This Row],[ID_P]]="","",MATCH(NOTA[[#This Row],[ID_P]],[1]!B_MSK[N_ID],0))</f>
        <v/>
      </c>
      <c r="D565" s="105">
        <f ca="1">IF(NOTA[[#This Row],[NAMA BARANG]]="","",INDEX(NOTA[ID],MATCH(,INDIRECT(ADDRESS(ROW(NOTA[ID]),COLUMN(NOTA[ID]))&amp;":"&amp;ADDRESS(ROW(),COLUMN(NOTA[ID]))),-1)))</f>
        <v>126</v>
      </c>
      <c r="E565" s="106"/>
      <c r="F565" s="66"/>
      <c r="G565" s="66"/>
      <c r="H565" s="107"/>
      <c r="I565" s="108"/>
      <c r="J565" s="109"/>
      <c r="K565" s="108"/>
      <c r="L565" s="66" t="s">
        <v>745</v>
      </c>
      <c r="M565" s="110"/>
      <c r="N565" s="108">
        <v>180</v>
      </c>
      <c r="O565" s="66" t="s">
        <v>88</v>
      </c>
      <c r="P565" s="104">
        <v>3700</v>
      </c>
      <c r="Q565" s="165"/>
      <c r="R565" s="115" t="s">
        <v>744</v>
      </c>
      <c r="S565" s="111">
        <v>0.125</v>
      </c>
      <c r="T565" s="111">
        <v>0.05</v>
      </c>
      <c r="U565" s="112"/>
      <c r="V565" s="113"/>
      <c r="W565" s="112">
        <f>IF(NOTA[[#This Row],[HARGA/ CTN]]="",NOTA[[#This Row],[JUMLAH_H]],NOTA[[#This Row],[HARGA/ CTN]]*NOTA[[#This Row],[C]])</f>
        <v>666000</v>
      </c>
      <c r="X565" s="112">
        <f>IF(NOTA[[#This Row],[JUMLAH]]="","",NOTA[[#This Row],[JUMLAH]]*NOTA[[#This Row],[DISC 1]])</f>
        <v>83250</v>
      </c>
      <c r="Y565" s="112">
        <f>IF(NOTA[[#This Row],[JUMLAH]]="","",(NOTA[[#This Row],[JUMLAH]]-NOTA[[#This Row],[DISC 1-]])*NOTA[[#This Row],[DISC 2]])</f>
        <v>29137.5</v>
      </c>
      <c r="Z565" s="112">
        <f>IF(NOTA[[#This Row],[JUMLAH]]="","",NOTA[[#This Row],[DISC 1-]]+NOTA[[#This Row],[DISC 2-]])</f>
        <v>112387.5</v>
      </c>
      <c r="AA565" s="112">
        <f>IF(NOTA[[#This Row],[JUMLAH]]="","",NOTA[[#This Row],[JUMLAH]]-NOTA[[#This Row],[DISC]])</f>
        <v>553612.5</v>
      </c>
      <c r="AB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5" s="112">
        <f>IF(OR(NOTA[[#This Row],[QTY]]="",NOTA[[#This Row],[HARGA SATUAN]]="",),"",NOTA[[#This Row],[QTY]]*NOTA[[#This Row],[HARGA SATUAN]])</f>
        <v>666000</v>
      </c>
      <c r="AF565" s="109">
        <f ca="1">IF(NOTA[ID_H]="","",INDEX(NOTA[TANGGAL],MATCH(,INDIRECT(ADDRESS(ROW(NOTA[TANGGAL]),COLUMN(NOTA[TANGGAL]))&amp;":"&amp;ADDRESS(ROW(),COLUMN(NOTA[TANGGAL]))),-1)))</f>
        <v>44867</v>
      </c>
      <c r="AG565" s="104" t="str">
        <f ca="1">IF(NOTA[[#This Row],[NAMA BARANG]]="","",INDEX(NOTA[SUPPLIER],MATCH(,INDIRECT(ADDRESS(ROW(NOTA[ID]),COLUMN(NOTA[ID]))&amp;":"&amp;ADDRESS(ROW(),COLUMN(NOTA[ID]))),-1)))</f>
        <v>ATALI MAKMUR</v>
      </c>
      <c r="AH565" s="114" t="str">
        <f ca="1">IF(NOTA[[#This Row],[ID]]="","",COUNTIF(NOTA[ID_H],NOTA[[#This Row],[ID_H]]))</f>
        <v/>
      </c>
      <c r="AI565" s="114">
        <f ca="1">IF(NOTA[[#This Row],[TGL.NOTA]]="",IF(NOTA[[#This Row],[SUPPLIER_H]]="","",AI564),MONTH(NOTA[[#This Row],[TGL.NOTA]]))</f>
        <v>10</v>
      </c>
    </row>
    <row r="566" spans="1:36" ht="20.100000000000001" customHeight="1" x14ac:dyDescent="0.25">
      <c r="A56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3" t="str">
        <f>IF(NOTA[[#This Row],[ID_P]]="","",MATCH(NOTA[[#This Row],[ID_P]],[1]!B_MSK[N_ID],0))</f>
        <v/>
      </c>
      <c r="D566" s="53">
        <f ca="1">IF(NOTA[[#This Row],[NAMA BARANG]]="","",INDEX(NOTA[ID],MATCH(,INDIRECT(ADDRESS(ROW(NOTA[ID]),COLUMN(NOTA[ID]))&amp;":"&amp;ADDRESS(ROW(),COLUMN(NOTA[ID]))),-1)))</f>
        <v>126</v>
      </c>
      <c r="E566" s="60"/>
      <c r="F566" s="54"/>
      <c r="G566" s="54"/>
      <c r="H566" s="55"/>
      <c r="I566" s="54"/>
      <c r="J566" s="56"/>
      <c r="K566" s="54"/>
      <c r="L566" s="66" t="s">
        <v>746</v>
      </c>
      <c r="M566" s="57"/>
      <c r="N566" s="54">
        <v>180</v>
      </c>
      <c r="O566" s="31" t="s">
        <v>88</v>
      </c>
      <c r="P566" s="52">
        <v>3700</v>
      </c>
      <c r="Q566" s="164"/>
      <c r="R566" s="35" t="s">
        <v>744</v>
      </c>
      <c r="S566" s="59">
        <v>0.125</v>
      </c>
      <c r="T566" s="59">
        <v>0.05</v>
      </c>
      <c r="U566" s="58"/>
      <c r="V566" s="87"/>
      <c r="W566" s="58">
        <f>IF(NOTA[[#This Row],[HARGA/ CTN]]="",NOTA[[#This Row],[JUMLAH_H]],NOTA[[#This Row],[HARGA/ CTN]]*NOTA[[#This Row],[C]])</f>
        <v>666000</v>
      </c>
      <c r="X566" s="58">
        <f>IF(NOTA[[#This Row],[JUMLAH]]="","",NOTA[[#This Row],[JUMLAH]]*NOTA[[#This Row],[DISC 1]])</f>
        <v>83250</v>
      </c>
      <c r="Y566" s="58">
        <f>IF(NOTA[[#This Row],[JUMLAH]]="","",(NOTA[[#This Row],[JUMLAH]]-NOTA[[#This Row],[DISC 1-]])*NOTA[[#This Row],[DISC 2]])</f>
        <v>29137.5</v>
      </c>
      <c r="Z566" s="58">
        <f>IF(NOTA[[#This Row],[JUMLAH]]="","",NOTA[[#This Row],[DISC 1-]]+NOTA[[#This Row],[DISC 2-]])</f>
        <v>112387.5</v>
      </c>
      <c r="AA566" s="58">
        <f>IF(NOTA[[#This Row],[JUMLAH]]="","",NOTA[[#This Row],[JUMLAH]]-NOTA[[#This Row],[DISC]])</f>
        <v>553612.5</v>
      </c>
      <c r="AB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6" s="58">
        <f>IF(OR(NOTA[[#This Row],[QTY]]="",NOTA[[#This Row],[HARGA SATUAN]]="",),"",NOTA[[#This Row],[QTY]]*NOTA[[#This Row],[HARGA SATUAN]])</f>
        <v>666000</v>
      </c>
      <c r="AF566" s="56">
        <f ca="1">IF(NOTA[ID_H]="","",INDEX(NOTA[TANGGAL],MATCH(,INDIRECT(ADDRESS(ROW(NOTA[TANGGAL]),COLUMN(NOTA[TANGGAL]))&amp;":"&amp;ADDRESS(ROW(),COLUMN(NOTA[TANGGAL]))),-1)))</f>
        <v>44867</v>
      </c>
      <c r="AG566" s="52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3" t="str">
        <f>IF(NOTA[[#This Row],[ID_P]]="","",MATCH(NOTA[[#This Row],[ID_P]],[1]!B_MSK[N_ID],0))</f>
        <v/>
      </c>
      <c r="D567" s="53">
        <f ca="1">IF(NOTA[[#This Row],[NAMA BARANG]]="","",INDEX(NOTA[ID],MATCH(,INDIRECT(ADDRESS(ROW(NOTA[ID]),COLUMN(NOTA[ID]))&amp;":"&amp;ADDRESS(ROW(),COLUMN(NOTA[ID]))),-1)))</f>
        <v>126</v>
      </c>
      <c r="E567" s="60"/>
      <c r="F567" s="31"/>
      <c r="G567" s="31"/>
      <c r="H567" s="33"/>
      <c r="I567" s="54"/>
      <c r="J567" s="56"/>
      <c r="K567" s="54"/>
      <c r="L567" s="66" t="s">
        <v>747</v>
      </c>
      <c r="M567" s="57"/>
      <c r="N567" s="54">
        <v>180</v>
      </c>
      <c r="O567" s="31" t="s">
        <v>88</v>
      </c>
      <c r="P567" s="52">
        <v>3700</v>
      </c>
      <c r="Q567" s="164"/>
      <c r="R567" s="35" t="s">
        <v>744</v>
      </c>
      <c r="S567" s="59">
        <v>0.125</v>
      </c>
      <c r="T567" s="59">
        <v>0.05</v>
      </c>
      <c r="U567" s="58"/>
      <c r="V567" s="87"/>
      <c r="W567" s="58">
        <f>IF(NOTA[[#This Row],[HARGA/ CTN]]="",NOTA[[#This Row],[JUMLAH_H]],NOTA[[#This Row],[HARGA/ CTN]]*NOTA[[#This Row],[C]])</f>
        <v>666000</v>
      </c>
      <c r="X567" s="58">
        <f>IF(NOTA[[#This Row],[JUMLAH]]="","",NOTA[[#This Row],[JUMLAH]]*NOTA[[#This Row],[DISC 1]])</f>
        <v>83250</v>
      </c>
      <c r="Y567" s="58">
        <f>IF(NOTA[[#This Row],[JUMLAH]]="","",(NOTA[[#This Row],[JUMLAH]]-NOTA[[#This Row],[DISC 1-]])*NOTA[[#This Row],[DISC 2]])</f>
        <v>29137.5</v>
      </c>
      <c r="Z567" s="58">
        <f>IF(NOTA[[#This Row],[JUMLAH]]="","",NOTA[[#This Row],[DISC 1-]]+NOTA[[#This Row],[DISC 2-]])</f>
        <v>112387.5</v>
      </c>
      <c r="AA567" s="58">
        <f>IF(NOTA[[#This Row],[JUMLAH]]="","",NOTA[[#This Row],[JUMLAH]]-NOTA[[#This Row],[DISC]])</f>
        <v>553612.5</v>
      </c>
      <c r="AB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7" s="58">
        <f>IF(OR(NOTA[[#This Row],[QTY]]="",NOTA[[#This Row],[HARGA SATUAN]]="",),"",NOTA[[#This Row],[QTY]]*NOTA[[#This Row],[HARGA SATUAN]])</f>
        <v>666000</v>
      </c>
      <c r="AF567" s="56">
        <f ca="1">IF(NOTA[ID_H]="","",INDEX(NOTA[TANGGAL],MATCH(,INDIRECT(ADDRESS(ROW(NOTA[TANGGAL]),COLUMN(NOTA[TANGGAL]))&amp;":"&amp;ADDRESS(ROW(),COLUMN(NOTA[TANGGAL]))),-1)))</f>
        <v>44867</v>
      </c>
      <c r="AG567" s="52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3" t="str">
        <f>IF(NOTA[[#This Row],[ID_P]]="","",MATCH(NOTA[[#This Row],[ID_P]],[1]!B_MSK[N_ID],0))</f>
        <v/>
      </c>
      <c r="D568" s="53">
        <f ca="1">IF(NOTA[[#This Row],[NAMA BARANG]]="","",INDEX(NOTA[ID],MATCH(,INDIRECT(ADDRESS(ROW(NOTA[ID]),COLUMN(NOTA[ID]))&amp;":"&amp;ADDRESS(ROW(),COLUMN(NOTA[ID]))),-1)))</f>
        <v>126</v>
      </c>
      <c r="E568" s="60"/>
      <c r="F568" s="54"/>
      <c r="G568" s="54"/>
      <c r="H568" s="55"/>
      <c r="I568" s="54"/>
      <c r="J568" s="56"/>
      <c r="K568" s="54"/>
      <c r="L568" s="66" t="s">
        <v>748</v>
      </c>
      <c r="M568" s="57"/>
      <c r="N568" s="54">
        <v>180</v>
      </c>
      <c r="O568" s="31" t="s">
        <v>88</v>
      </c>
      <c r="P568" s="52">
        <v>3700</v>
      </c>
      <c r="Q568" s="164"/>
      <c r="R568" s="35" t="s">
        <v>744</v>
      </c>
      <c r="S568" s="59">
        <v>0.125</v>
      </c>
      <c r="T568" s="59">
        <v>0.05</v>
      </c>
      <c r="U568" s="58"/>
      <c r="V568" s="87"/>
      <c r="W568" s="58">
        <f>IF(NOTA[[#This Row],[HARGA/ CTN]]="",NOTA[[#This Row],[JUMLAH_H]],NOTA[[#This Row],[HARGA/ CTN]]*NOTA[[#This Row],[C]])</f>
        <v>666000</v>
      </c>
      <c r="X568" s="58">
        <f>IF(NOTA[[#This Row],[JUMLAH]]="","",NOTA[[#This Row],[JUMLAH]]*NOTA[[#This Row],[DISC 1]])</f>
        <v>83250</v>
      </c>
      <c r="Y568" s="58">
        <f>IF(NOTA[[#This Row],[JUMLAH]]="","",(NOTA[[#This Row],[JUMLAH]]-NOTA[[#This Row],[DISC 1-]])*NOTA[[#This Row],[DISC 2]])</f>
        <v>29137.5</v>
      </c>
      <c r="Z568" s="58">
        <f>IF(NOTA[[#This Row],[JUMLAH]]="","",NOTA[[#This Row],[DISC 1-]]+NOTA[[#This Row],[DISC 2-]])</f>
        <v>112387.5</v>
      </c>
      <c r="AA568" s="58">
        <f>IF(NOTA[[#This Row],[JUMLAH]]="","",NOTA[[#This Row],[JUMLAH]]-NOTA[[#This Row],[DISC]])</f>
        <v>553612.5</v>
      </c>
      <c r="AB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56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568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568" s="58">
        <f>IF(OR(NOTA[[#This Row],[QTY]]="",NOTA[[#This Row],[HARGA SATUAN]]="",),"",NOTA[[#This Row],[QTY]]*NOTA[[#This Row],[HARGA SATUAN]])</f>
        <v>666000</v>
      </c>
      <c r="AF568" s="56">
        <f ca="1">IF(NOTA[ID_H]="","",INDEX(NOTA[TANGGAL],MATCH(,INDIRECT(ADDRESS(ROW(NOTA[TANGGAL]),COLUMN(NOTA[TANGGAL]))&amp;":"&amp;ADDRESS(ROW(),COLUMN(NOTA[TANGGAL]))),-1)))</f>
        <v>44867</v>
      </c>
      <c r="AG568" s="52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3" t="str">
        <f>IF(NOTA[[#This Row],[ID_P]]="","",MATCH(NOTA[[#This Row],[ID_P]],[1]!B_MSK[N_ID],0))</f>
        <v/>
      </c>
      <c r="D569" s="53" t="str">
        <f ca="1">IF(NOTA[[#This Row],[NAMA BARANG]]="","",INDEX(NOTA[ID],MATCH(,INDIRECT(ADDRESS(ROW(NOTA[ID]),COLUMN(NOTA[ID]))&amp;":"&amp;ADDRESS(ROW(),COLUMN(NOTA[ID]))),-1)))</f>
        <v/>
      </c>
      <c r="E569" s="60"/>
      <c r="F569" s="54"/>
      <c r="G569" s="54"/>
      <c r="H569" s="55"/>
      <c r="I569" s="54"/>
      <c r="J569" s="56"/>
      <c r="K569" s="54"/>
      <c r="L569" s="31"/>
      <c r="M569" s="57"/>
      <c r="N569" s="54"/>
      <c r="O569" s="31"/>
      <c r="P569" s="52"/>
      <c r="Q569" s="164"/>
      <c r="R569" s="57"/>
      <c r="S569" s="59"/>
      <c r="T569" s="59"/>
      <c r="U569" s="58"/>
      <c r="V569" s="87"/>
      <c r="W569" s="58" t="str">
        <f>IF(NOTA[[#This Row],[HARGA/ CTN]]="",NOTA[[#This Row],[JUMLAH_H]],NOTA[[#This Row],[HARGA/ CTN]]*NOTA[[#This Row],[C]])</f>
        <v/>
      </c>
      <c r="X569" s="58" t="str">
        <f>IF(NOTA[[#This Row],[JUMLAH]]="","",NOTA[[#This Row],[JUMLAH]]*NOTA[[#This Row],[DISC 1]])</f>
        <v/>
      </c>
      <c r="Y569" s="58" t="str">
        <f>IF(NOTA[[#This Row],[JUMLAH]]="","",(NOTA[[#This Row],[JUMLAH]]-NOTA[[#This Row],[DISC 1-]])*NOTA[[#This Row],[DISC 2]])</f>
        <v/>
      </c>
      <c r="Z569" s="58" t="str">
        <f>IF(NOTA[[#This Row],[JUMLAH]]="","",NOTA[[#This Row],[DISC 1-]]+NOTA[[#This Row],[DISC 2-]])</f>
        <v/>
      </c>
      <c r="AA569" s="58" t="str">
        <f>IF(NOTA[[#This Row],[JUMLAH]]="","",NOTA[[#This Row],[JUMLAH]]-NOTA[[#This Row],[DISC]])</f>
        <v/>
      </c>
      <c r="AB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8" t="str">
        <f>IF(OR(NOTA[[#This Row],[QTY]]="",NOTA[[#This Row],[HARGA SATUAN]]="",),"",NOTA[[#This Row],[QTY]]*NOTA[[#This Row],[HARGA SATUAN]])</f>
        <v/>
      </c>
      <c r="AF569" s="56" t="str">
        <f ca="1">IF(NOTA[ID_H]="","",INDEX(NOTA[TANGGAL],MATCH(,INDIRECT(ADDRESS(ROW(NOTA[TANGGAL]),COLUMN(NOTA[TANGGAL]))&amp;":"&amp;ADDRESS(ROW(),COLUMN(NOTA[TANGGAL]))),-1)))</f>
        <v/>
      </c>
      <c r="AG569" s="52" t="str">
        <f ca="1">IF(NOTA[[#This Row],[NAMA BARANG]]="","",INDEX(NOTA[SUPPLIER],MATCH(,INDIRECT(ADDRESS(ROW(NOTA[ID]),COLUMN(NOTA[ID]))&amp;":"&amp;ADDRESS(ROW(),COLUMN(NOTA[ID]))),-1)))</f>
        <v/>
      </c>
      <c r="AH569" s="16" t="str">
        <f ca="1">IF(NOTA[[#This Row],[ID]]="","",COUNTIF(NOTA[ID_H],NOTA[[#This Row],[ID_H]]))</f>
        <v/>
      </c>
      <c r="AI569" s="16" t="str">
        <f ca="1">IF(NOTA[[#This Row],[TGL.NOTA]]="",IF(NOTA[[#This Row],[SUPPLIER_H]]="","",AI568),MONTH(NOTA[[#This Row],[TGL.NOTA]]))</f>
        <v/>
      </c>
      <c r="AJ569" s="16"/>
    </row>
    <row r="570" spans="1:36" ht="20.100000000000001" customHeight="1" x14ac:dyDescent="0.25">
      <c r="A570" s="52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570" s="53" t="e">
        <f ca="1">IF(NOTA[[#This Row],[ID_P]]="","",MATCH(NOTA[[#This Row],[ID_P]],[1]!B_MSK[N_ID],0))</f>
        <v>#REF!</v>
      </c>
      <c r="D570" s="53">
        <f ca="1">IF(NOTA[[#This Row],[NAMA BARANG]]="","",INDEX(NOTA[ID],MATCH(,INDIRECT(ADDRESS(ROW(NOTA[ID]),COLUMN(NOTA[ID]))&amp;":"&amp;ADDRESS(ROW(),COLUMN(NOTA[ID]))),-1)))</f>
        <v>127</v>
      </c>
      <c r="E570" s="60"/>
      <c r="F570" s="31" t="s">
        <v>52</v>
      </c>
      <c r="G570" s="31" t="s">
        <v>24</v>
      </c>
      <c r="H570" s="33" t="s">
        <v>749</v>
      </c>
      <c r="I570" s="54"/>
      <c r="J570" s="34">
        <v>44863</v>
      </c>
      <c r="K570" s="54"/>
      <c r="L570" s="31" t="s">
        <v>780</v>
      </c>
      <c r="M570" s="57">
        <v>1</v>
      </c>
      <c r="N570" s="54">
        <v>80</v>
      </c>
      <c r="O570" s="31" t="s">
        <v>88</v>
      </c>
      <c r="P570" s="52">
        <v>50000</v>
      </c>
      <c r="Q570" s="164"/>
      <c r="R570" s="35" t="s">
        <v>463</v>
      </c>
      <c r="S570" s="59">
        <v>0.125</v>
      </c>
      <c r="T570" s="59">
        <v>0.05</v>
      </c>
      <c r="U570" s="58"/>
      <c r="V570" s="87"/>
      <c r="W570" s="58">
        <f>IF(NOTA[[#This Row],[HARGA/ CTN]]="",NOTA[[#This Row],[JUMLAH_H]],NOTA[[#This Row],[HARGA/ CTN]]*NOTA[[#This Row],[C]])</f>
        <v>4000000</v>
      </c>
      <c r="X570" s="58">
        <f>IF(NOTA[[#This Row],[JUMLAH]]="","",NOTA[[#This Row],[JUMLAH]]*NOTA[[#This Row],[DISC 1]])</f>
        <v>500000</v>
      </c>
      <c r="Y570" s="58">
        <f>IF(NOTA[[#This Row],[JUMLAH]]="","",(NOTA[[#This Row],[JUMLAH]]-NOTA[[#This Row],[DISC 1-]])*NOTA[[#This Row],[DISC 2]])</f>
        <v>175000</v>
      </c>
      <c r="Z570" s="58">
        <f>IF(NOTA[[#This Row],[JUMLAH]]="","",NOTA[[#This Row],[DISC 1-]]+NOTA[[#This Row],[DISC 2-]])</f>
        <v>675000</v>
      </c>
      <c r="AA570" s="58">
        <f>IF(NOTA[[#This Row],[JUMLAH]]="","",NOTA[[#This Row],[JUMLAH]]-NOTA[[#This Row],[DISC]])</f>
        <v>3325000</v>
      </c>
      <c r="AB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570" s="58">
        <f>IF(OR(NOTA[[#This Row],[QTY]]="",NOTA[[#This Row],[HARGA SATUAN]]="",),"",NOTA[[#This Row],[QTY]]*NOTA[[#This Row],[HARGA SATUAN]])</f>
        <v>4000000</v>
      </c>
      <c r="AF570" s="56">
        <f ca="1">IF(NOTA[ID_H]="","",INDEX(NOTA[TANGGAL],MATCH(,INDIRECT(ADDRESS(ROW(NOTA[TANGGAL]),COLUMN(NOTA[TANGGAL]))&amp;":"&amp;ADDRESS(ROW(),COLUMN(NOTA[TANGGAL]))),-1)))</f>
        <v>44867</v>
      </c>
      <c r="AG570" s="52" t="str">
        <f ca="1">IF(NOTA[[#This Row],[NAMA BARANG]]="","",INDEX(NOTA[SUPPLIER],MATCH(,INDIRECT(ADDRESS(ROW(NOTA[ID]),COLUMN(NOTA[ID]))&amp;":"&amp;ADDRESS(ROW(),COLUMN(NOTA[ID]))),-1)))</f>
        <v>KALINDO SUKSES</v>
      </c>
      <c r="AH570" s="16">
        <f ca="1">IF(NOTA[[#This Row],[ID]]="","",COUNTIF(NOTA[ID_H],NOTA[[#This Row],[ID_H]]))</f>
        <v>2</v>
      </c>
      <c r="AI570" s="16">
        <f>IF(NOTA[[#This Row],[TGL.NOTA]]="",IF(NOTA[[#This Row],[SUPPLIER_H]]="","",AI569),MONTH(NOTA[[#This Row],[TGL.NOTA]]))</f>
        <v>10</v>
      </c>
      <c r="AJ570" s="16"/>
    </row>
    <row r="571" spans="1:36" ht="20.100000000000001" customHeight="1" x14ac:dyDescent="0.25">
      <c r="A5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3" t="str">
        <f>IF(NOTA[[#This Row],[ID_P]]="","",MATCH(NOTA[[#This Row],[ID_P]],[1]!B_MSK[N_ID],0))</f>
        <v/>
      </c>
      <c r="D571" s="53">
        <f ca="1">IF(NOTA[[#This Row],[NAMA BARANG]]="","",INDEX(NOTA[ID],MATCH(,INDIRECT(ADDRESS(ROW(NOTA[ID]),COLUMN(NOTA[ID]))&amp;":"&amp;ADDRESS(ROW(),COLUMN(NOTA[ID]))),-1)))</f>
        <v>127</v>
      </c>
      <c r="E571" s="60"/>
      <c r="F571" s="54"/>
      <c r="G571" s="54"/>
      <c r="H571" s="55"/>
      <c r="I571" s="54"/>
      <c r="J571" s="56"/>
      <c r="K571" s="54"/>
      <c r="L571" s="31" t="s">
        <v>750</v>
      </c>
      <c r="M571" s="57">
        <v>1</v>
      </c>
      <c r="N571" s="54">
        <v>80</v>
      </c>
      <c r="O571" s="31" t="s">
        <v>88</v>
      </c>
      <c r="P571" s="52">
        <v>67000</v>
      </c>
      <c r="Q571" s="164"/>
      <c r="R571" s="35" t="s">
        <v>463</v>
      </c>
      <c r="S571" s="59">
        <v>0.125</v>
      </c>
      <c r="T571" s="59">
        <v>0.05</v>
      </c>
      <c r="U571" s="58"/>
      <c r="V571" s="87"/>
      <c r="W571" s="58">
        <f>IF(NOTA[[#This Row],[HARGA/ CTN]]="",NOTA[[#This Row],[JUMLAH_H]],NOTA[[#This Row],[HARGA/ CTN]]*NOTA[[#This Row],[C]])</f>
        <v>5360000</v>
      </c>
      <c r="X571" s="58">
        <f>IF(NOTA[[#This Row],[JUMLAH]]="","",NOTA[[#This Row],[JUMLAH]]*NOTA[[#This Row],[DISC 1]])</f>
        <v>670000</v>
      </c>
      <c r="Y571" s="58">
        <f>IF(NOTA[[#This Row],[JUMLAH]]="","",(NOTA[[#This Row],[JUMLAH]]-NOTA[[#This Row],[DISC 1-]])*NOTA[[#This Row],[DISC 2]])</f>
        <v>234500</v>
      </c>
      <c r="Z571" s="58">
        <f>IF(NOTA[[#This Row],[JUMLAH]]="","",NOTA[[#This Row],[DISC 1-]]+NOTA[[#This Row],[DISC 2-]])</f>
        <v>904500</v>
      </c>
      <c r="AA571" s="58">
        <f>IF(NOTA[[#This Row],[JUMLAH]]="","",NOTA[[#This Row],[JUMLAH]]-NOTA[[#This Row],[DISC]])</f>
        <v>4455500</v>
      </c>
      <c r="AB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57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571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571" s="58">
        <f>IF(OR(NOTA[[#This Row],[QTY]]="",NOTA[[#This Row],[HARGA SATUAN]]="",),"",NOTA[[#This Row],[QTY]]*NOTA[[#This Row],[HARGA SATUAN]])</f>
        <v>5360000</v>
      </c>
      <c r="AF571" s="56">
        <f ca="1">IF(NOTA[ID_H]="","",INDEX(NOTA[TANGGAL],MATCH(,INDIRECT(ADDRESS(ROW(NOTA[TANGGAL]),COLUMN(NOTA[TANGGAL]))&amp;":"&amp;ADDRESS(ROW(),COLUMN(NOTA[TANGGAL]))),-1)))</f>
        <v>44867</v>
      </c>
      <c r="AG571" s="52" t="str">
        <f ca="1">IF(NOTA[[#This Row],[NAMA BARANG]]="","",INDEX(NOTA[SUPPLIER],MATCH(,INDIRECT(ADDRESS(ROW(NOTA[ID]),COLUMN(NOTA[ID]))&amp;":"&amp;ADDRESS(ROW(),COLUMN(NOTA[ID]))),-1)))</f>
        <v>KALINDO SUKSES</v>
      </c>
      <c r="AH571" s="16" t="str">
        <f ca="1">IF(NOTA[[#This Row],[ID]]="","",COUNTIF(NOTA[ID_H],NOTA[[#This Row],[ID_H]]))</f>
        <v/>
      </c>
      <c r="AI571" s="16">
        <f ca="1"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3" t="str">
        <f>IF(NOTA[[#This Row],[ID_P]]="","",MATCH(NOTA[[#This Row],[ID_P]],[1]!B_MSK[N_ID],0))</f>
        <v/>
      </c>
      <c r="D572" s="53" t="str">
        <f ca="1">IF(NOTA[[#This Row],[NAMA BARANG]]="","",INDEX(NOTA[ID],MATCH(,INDIRECT(ADDRESS(ROW(NOTA[ID]),COLUMN(NOTA[ID]))&amp;":"&amp;ADDRESS(ROW(),COLUMN(NOTA[ID]))),-1)))</f>
        <v/>
      </c>
      <c r="E572" s="60"/>
      <c r="F572" s="54"/>
      <c r="G572" s="54"/>
      <c r="H572" s="55"/>
      <c r="I572" s="54"/>
      <c r="J572" s="56"/>
      <c r="K572" s="54"/>
      <c r="L572" s="31"/>
      <c r="M572" s="57"/>
      <c r="N572" s="54"/>
      <c r="O572" s="31"/>
      <c r="P572" s="52"/>
      <c r="Q572" s="164"/>
      <c r="R572" s="57"/>
      <c r="S572" s="59"/>
      <c r="T572" s="59"/>
      <c r="U572" s="58"/>
      <c r="V572" s="87"/>
      <c r="W572" s="58" t="str">
        <f>IF(NOTA[[#This Row],[HARGA/ CTN]]="",NOTA[[#This Row],[JUMLAH_H]],NOTA[[#This Row],[HARGA/ CTN]]*NOTA[[#This Row],[C]])</f>
        <v/>
      </c>
      <c r="X572" s="58" t="str">
        <f>IF(NOTA[[#This Row],[JUMLAH]]="","",NOTA[[#This Row],[JUMLAH]]*NOTA[[#This Row],[DISC 1]])</f>
        <v/>
      </c>
      <c r="Y572" s="58" t="str">
        <f>IF(NOTA[[#This Row],[JUMLAH]]="","",(NOTA[[#This Row],[JUMLAH]]-NOTA[[#This Row],[DISC 1-]])*NOTA[[#This Row],[DISC 2]])</f>
        <v/>
      </c>
      <c r="Z572" s="58" t="str">
        <f>IF(NOTA[[#This Row],[JUMLAH]]="","",NOTA[[#This Row],[DISC 1-]]+NOTA[[#This Row],[DISC 2-]])</f>
        <v/>
      </c>
      <c r="AA572" s="58" t="str">
        <f>IF(NOTA[[#This Row],[JUMLAH]]="","",NOTA[[#This Row],[JUMLAH]]-NOTA[[#This Row],[DISC]])</f>
        <v/>
      </c>
      <c r="AB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8" t="str">
        <f>IF(OR(NOTA[[#This Row],[QTY]]="",NOTA[[#This Row],[HARGA SATUAN]]="",),"",NOTA[[#This Row],[QTY]]*NOTA[[#This Row],[HARGA SATUAN]])</f>
        <v/>
      </c>
      <c r="AF572" s="56" t="str">
        <f ca="1">IF(NOTA[ID_H]="","",INDEX(NOTA[TANGGAL],MATCH(,INDIRECT(ADDRESS(ROW(NOTA[TANGGAL]),COLUMN(NOTA[TANGGAL]))&amp;":"&amp;ADDRESS(ROW(),COLUMN(NOTA[TANGGAL]))),-1)))</f>
        <v/>
      </c>
      <c r="AG572" s="52" t="str">
        <f ca="1">IF(NOTA[[#This Row],[NAMA BARANG]]="","",INDEX(NOTA[SUPPLIER],MATCH(,INDIRECT(ADDRESS(ROW(NOTA[ID]),COLUMN(NOTA[ID]))&amp;":"&amp;ADDRESS(ROW(),COLUMN(NOTA[ID]))),-1)))</f>
        <v/>
      </c>
      <c r="AH572" s="16" t="str">
        <f ca="1">IF(NOTA[[#This Row],[ID]]="","",COUNTIF(NOTA[ID_H],NOTA[[#This Row],[ID_H]]))</f>
        <v/>
      </c>
      <c r="AI572" s="16" t="str">
        <f ca="1">IF(NOTA[[#This Row],[TGL.NOTA]]="",IF(NOTA[[#This Row],[SUPPLIER_H]]="","",AI571),MONTH(NOTA[[#This Row],[TGL.NOTA]]))</f>
        <v/>
      </c>
      <c r="AJ572" s="16"/>
    </row>
    <row r="573" spans="1:36" ht="20.100000000000001" customHeight="1" x14ac:dyDescent="0.25">
      <c r="A573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573" s="53" t="e">
        <f ca="1">IF(NOTA[[#This Row],[ID_P]]="","",MATCH(NOTA[[#This Row],[ID_P]],[1]!B_MSK[N_ID],0))</f>
        <v>#REF!</v>
      </c>
      <c r="D573" s="53">
        <f ca="1">IF(NOTA[[#This Row],[NAMA BARANG]]="","",INDEX(NOTA[ID],MATCH(,INDIRECT(ADDRESS(ROW(NOTA[ID]),COLUMN(NOTA[ID]))&amp;":"&amp;ADDRESS(ROW(),COLUMN(NOTA[ID]))),-1)))</f>
        <v>128</v>
      </c>
      <c r="E573" s="60"/>
      <c r="F573" s="31" t="s">
        <v>25</v>
      </c>
      <c r="G573" s="31" t="s">
        <v>24</v>
      </c>
      <c r="H573" s="33" t="s">
        <v>751</v>
      </c>
      <c r="I573" s="54"/>
      <c r="J573" s="56">
        <v>44865</v>
      </c>
      <c r="K573" s="54"/>
      <c r="L573" s="31" t="s">
        <v>707</v>
      </c>
      <c r="M573" s="57">
        <v>5</v>
      </c>
      <c r="N573" s="54">
        <v>720</v>
      </c>
      <c r="O573" s="31" t="s">
        <v>204</v>
      </c>
      <c r="P573" s="52">
        <v>10600</v>
      </c>
      <c r="Q573" s="164"/>
      <c r="R573" s="35" t="s">
        <v>284</v>
      </c>
      <c r="S573" s="59">
        <v>0.125</v>
      </c>
      <c r="T573" s="59">
        <v>0.05</v>
      </c>
      <c r="U573" s="58"/>
      <c r="V573" s="87"/>
      <c r="W573" s="58">
        <f>IF(NOTA[[#This Row],[HARGA/ CTN]]="",NOTA[[#This Row],[JUMLAH_H]],NOTA[[#This Row],[HARGA/ CTN]]*NOTA[[#This Row],[C]])</f>
        <v>7632000</v>
      </c>
      <c r="X573" s="58">
        <f>IF(NOTA[[#This Row],[JUMLAH]]="","",NOTA[[#This Row],[JUMLAH]]*NOTA[[#This Row],[DISC 1]])</f>
        <v>954000</v>
      </c>
      <c r="Y573" s="58">
        <f>IF(NOTA[[#This Row],[JUMLAH]]="","",(NOTA[[#This Row],[JUMLAH]]-NOTA[[#This Row],[DISC 1-]])*NOTA[[#This Row],[DISC 2]])</f>
        <v>333900</v>
      </c>
      <c r="Z573" s="58">
        <f>IF(NOTA[[#This Row],[JUMLAH]]="","",NOTA[[#This Row],[DISC 1-]]+NOTA[[#This Row],[DISC 2-]])</f>
        <v>1287900</v>
      </c>
      <c r="AA573" s="58">
        <f>IF(NOTA[[#This Row],[JUMLAH]]="","",NOTA[[#This Row],[JUMLAH]]-NOTA[[#This Row],[DISC]])</f>
        <v>6344100</v>
      </c>
      <c r="AB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3" s="58">
        <f>IF(OR(NOTA[[#This Row],[QTY]]="",NOTA[[#This Row],[HARGA SATUAN]]="",),"",NOTA[[#This Row],[QTY]]*NOTA[[#This Row],[HARGA SATUAN]])</f>
        <v>7632000</v>
      </c>
      <c r="AF573" s="56">
        <f ca="1">IF(NOTA[ID_H]="","",INDEX(NOTA[TANGGAL],MATCH(,INDIRECT(ADDRESS(ROW(NOTA[TANGGAL]),COLUMN(NOTA[TANGGAL]))&amp;":"&amp;ADDRESS(ROW(),COLUMN(NOTA[TANGGAL]))),-1)))</f>
        <v>44867</v>
      </c>
      <c r="AG573" s="52" t="str">
        <f ca="1">IF(NOTA[[#This Row],[NAMA BARANG]]="","",INDEX(NOTA[SUPPLIER],MATCH(,INDIRECT(ADDRESS(ROW(NOTA[ID]),COLUMN(NOTA[ID]))&amp;":"&amp;ADDRESS(ROW(),COLUMN(NOTA[ID]))),-1)))</f>
        <v>ATALI MAKMUR</v>
      </c>
      <c r="AH573" s="16">
        <f ca="1">IF(NOTA[[#This Row],[ID]]="","",COUNTIF(NOTA[ID_H],NOTA[[#This Row],[ID_H]]))</f>
        <v>2</v>
      </c>
      <c r="AI573" s="16">
        <f>IF(NOTA[[#This Row],[TGL.NOTA]]="",IF(NOTA[[#This Row],[SUPPLIER_H]]="","",AI572),MONTH(NOTA[[#This Row],[TGL.NOTA]]))</f>
        <v>10</v>
      </c>
      <c r="AJ573" s="16"/>
    </row>
    <row r="574" spans="1:36" ht="20.100000000000001" customHeight="1" x14ac:dyDescent="0.25">
      <c r="A5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3" t="str">
        <f>IF(NOTA[[#This Row],[ID_P]]="","",MATCH(NOTA[[#This Row],[ID_P]],[1]!B_MSK[N_ID],0))</f>
        <v/>
      </c>
      <c r="D574" s="53">
        <f ca="1">IF(NOTA[[#This Row],[NAMA BARANG]]="","",INDEX(NOTA[ID],MATCH(,INDIRECT(ADDRESS(ROW(NOTA[ID]),COLUMN(NOTA[ID]))&amp;":"&amp;ADDRESS(ROW(),COLUMN(NOTA[ID]))),-1)))</f>
        <v>128</v>
      </c>
      <c r="E574" s="60"/>
      <c r="F574" s="54"/>
      <c r="G574" s="54"/>
      <c r="H574" s="55"/>
      <c r="I574" s="54"/>
      <c r="J574" s="56"/>
      <c r="K574" s="54"/>
      <c r="L574" s="31" t="s">
        <v>473</v>
      </c>
      <c r="M574" s="57">
        <v>5</v>
      </c>
      <c r="N574" s="31">
        <v>360</v>
      </c>
      <c r="O574" s="31" t="s">
        <v>204</v>
      </c>
      <c r="P574" s="52">
        <v>21200</v>
      </c>
      <c r="Q574" s="164"/>
      <c r="R574" s="35" t="s">
        <v>450</v>
      </c>
      <c r="S574" s="59">
        <v>0.125</v>
      </c>
      <c r="T574" s="59">
        <v>0.05</v>
      </c>
      <c r="U574" s="58"/>
      <c r="V574" s="87"/>
      <c r="W574" s="58">
        <f>IF(NOTA[[#This Row],[HARGA/ CTN]]="",NOTA[[#This Row],[JUMLAH_H]],NOTA[[#This Row],[HARGA/ CTN]]*NOTA[[#This Row],[C]])</f>
        <v>7632000</v>
      </c>
      <c r="X574" s="58">
        <f>IF(NOTA[[#This Row],[JUMLAH]]="","",NOTA[[#This Row],[JUMLAH]]*NOTA[[#This Row],[DISC 1]])</f>
        <v>954000</v>
      </c>
      <c r="Y574" s="58">
        <f>IF(NOTA[[#This Row],[JUMLAH]]="","",(NOTA[[#This Row],[JUMLAH]]-NOTA[[#This Row],[DISC 1-]])*NOTA[[#This Row],[DISC 2]])</f>
        <v>333900</v>
      </c>
      <c r="Z574" s="58">
        <f>IF(NOTA[[#This Row],[JUMLAH]]="","",NOTA[[#This Row],[DISC 1-]]+NOTA[[#This Row],[DISC 2-]])</f>
        <v>1287900</v>
      </c>
      <c r="AA574" s="58">
        <f>IF(NOTA[[#This Row],[JUMLAH]]="","",NOTA[[#This Row],[JUMLAH]]-NOTA[[#This Row],[DISC]])</f>
        <v>6344100</v>
      </c>
      <c r="AB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57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57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4" s="58">
        <f>IF(OR(NOTA[[#This Row],[QTY]]="",NOTA[[#This Row],[HARGA SATUAN]]="",),"",NOTA[[#This Row],[QTY]]*NOTA[[#This Row],[HARGA SATUAN]])</f>
        <v>7632000</v>
      </c>
      <c r="AF574" s="56">
        <f ca="1">IF(NOTA[ID_H]="","",INDEX(NOTA[TANGGAL],MATCH(,INDIRECT(ADDRESS(ROW(NOTA[TANGGAL]),COLUMN(NOTA[TANGGAL]))&amp;":"&amp;ADDRESS(ROW(),COLUMN(NOTA[TANGGAL]))),-1)))</f>
        <v>44867</v>
      </c>
      <c r="AG574" s="52" t="str">
        <f ca="1">IF(NOTA[[#This Row],[NAMA BARANG]]="","",INDEX(NOTA[SUPPLIER],MATCH(,INDIRECT(ADDRESS(ROW(NOTA[ID]),COLUMN(NOTA[ID]))&amp;":"&amp;ADDRESS(ROW(),COLUMN(NOTA[ID]))),-1)))</f>
        <v>ATALI MAKMUR</v>
      </c>
      <c r="AH574" s="16" t="str">
        <f ca="1">IF(NOTA[[#This Row],[ID]]="","",COUNTIF(NOTA[ID_H],NOTA[[#This Row],[ID_H]]))</f>
        <v/>
      </c>
      <c r="AI574" s="16">
        <f ca="1"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3" t="str">
        <f>IF(NOTA[[#This Row],[ID_P]]="","",MATCH(NOTA[[#This Row],[ID_P]],[1]!B_MSK[N_ID],0))</f>
        <v/>
      </c>
      <c r="D575" s="53" t="str">
        <f ca="1">IF(NOTA[[#This Row],[NAMA BARANG]]="","",INDEX(NOTA[ID],MATCH(,INDIRECT(ADDRESS(ROW(NOTA[ID]),COLUMN(NOTA[ID]))&amp;":"&amp;ADDRESS(ROW(),COLUMN(NOTA[ID]))),-1)))</f>
        <v/>
      </c>
      <c r="E575" s="60"/>
      <c r="F575" s="54"/>
      <c r="G575" s="54"/>
      <c r="H575" s="55"/>
      <c r="I575" s="54"/>
      <c r="J575" s="56"/>
      <c r="K575" s="54"/>
      <c r="L575" s="31"/>
      <c r="M575" s="57"/>
      <c r="N575" s="54"/>
      <c r="O575" s="31"/>
      <c r="P575" s="52"/>
      <c r="Q575" s="164"/>
      <c r="R575" s="57"/>
      <c r="S575" s="59"/>
      <c r="T575" s="59"/>
      <c r="U575" s="58"/>
      <c r="V575" s="87"/>
      <c r="W575" s="58" t="str">
        <f>IF(NOTA[[#This Row],[HARGA/ CTN]]="",NOTA[[#This Row],[JUMLAH_H]],NOTA[[#This Row],[HARGA/ CTN]]*NOTA[[#This Row],[C]])</f>
        <v/>
      </c>
      <c r="X575" s="58" t="str">
        <f>IF(NOTA[[#This Row],[JUMLAH]]="","",NOTA[[#This Row],[JUMLAH]]*NOTA[[#This Row],[DISC 1]])</f>
        <v/>
      </c>
      <c r="Y575" s="58" t="str">
        <f>IF(NOTA[[#This Row],[JUMLAH]]="","",(NOTA[[#This Row],[JUMLAH]]-NOTA[[#This Row],[DISC 1-]])*NOTA[[#This Row],[DISC 2]])</f>
        <v/>
      </c>
      <c r="Z575" s="58" t="str">
        <f>IF(NOTA[[#This Row],[JUMLAH]]="","",NOTA[[#This Row],[DISC 1-]]+NOTA[[#This Row],[DISC 2-]])</f>
        <v/>
      </c>
      <c r="AA575" s="58" t="str">
        <f>IF(NOTA[[#This Row],[JUMLAH]]="","",NOTA[[#This Row],[JUMLAH]]-NOTA[[#This Row],[DISC]])</f>
        <v/>
      </c>
      <c r="AB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8" t="str">
        <f>IF(OR(NOTA[[#This Row],[QTY]]="",NOTA[[#This Row],[HARGA SATUAN]]="",),"",NOTA[[#This Row],[QTY]]*NOTA[[#This Row],[HARGA SATUAN]])</f>
        <v/>
      </c>
      <c r="AF575" s="56" t="str">
        <f ca="1">IF(NOTA[ID_H]="","",INDEX(NOTA[TANGGAL],MATCH(,INDIRECT(ADDRESS(ROW(NOTA[TANGGAL]),COLUMN(NOTA[TANGGAL]))&amp;":"&amp;ADDRESS(ROW(),COLUMN(NOTA[TANGGAL]))),-1)))</f>
        <v/>
      </c>
      <c r="AG575" s="52" t="str">
        <f ca="1">IF(NOTA[[#This Row],[NAMA BARANG]]="","",INDEX(NOTA[SUPPLIER],MATCH(,INDIRECT(ADDRESS(ROW(NOTA[ID]),COLUMN(NOTA[ID]))&amp;":"&amp;ADDRESS(ROW(),COLUMN(NOTA[ID]))),-1)))</f>
        <v/>
      </c>
      <c r="AH575" s="16" t="str">
        <f ca="1">IF(NOTA[[#This Row],[ID]]="","",COUNTIF(NOTA[ID_H],NOTA[[#This Row],[ID_H]]))</f>
        <v/>
      </c>
      <c r="AI575" s="16" t="str">
        <f ca="1">IF(NOTA[[#This Row],[TGL.NOTA]]="",IF(NOTA[[#This Row],[SUPPLIER_H]]="","",AI574),MONTH(NOTA[[#This Row],[TGL.NOTA]]))</f>
        <v/>
      </c>
      <c r="AJ575" s="16"/>
    </row>
    <row r="576" spans="1:36" ht="20.100000000000001" customHeight="1" x14ac:dyDescent="0.25">
      <c r="A576" s="52">
        <f ca="1">IF(INDIRECT(ADDRESS(ROW()-1,COLUMN(NOTA[[#Headers],[ID]])))="ID",1,IF(NOTA[[#This Row],[FAKTUR]]="","",COUNT(INDIRECT(ADDRESS(ROW(NOTA[ID]),COLUMN(NOTA[ID]))&amp;":"&amp;ADDRESS(ROW()-1,COLUMN(NOTA[ID]))))+1))</f>
        <v>129</v>
      </c>
      <c r="B5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576" s="53" t="e">
        <f ca="1">IF(NOTA[[#This Row],[ID_P]]="","",MATCH(NOTA[[#This Row],[ID_P]],[1]!B_MSK[N_ID],0))</f>
        <v>#REF!</v>
      </c>
      <c r="D576" s="53">
        <f ca="1">IF(NOTA[[#This Row],[NAMA BARANG]]="","",INDEX(NOTA[ID],MATCH(,INDIRECT(ADDRESS(ROW(NOTA[ID]),COLUMN(NOTA[ID]))&amp;":"&amp;ADDRESS(ROW(),COLUMN(NOTA[ID]))),-1)))</f>
        <v>129</v>
      </c>
      <c r="E576" s="60"/>
      <c r="F576" s="31" t="s">
        <v>752</v>
      </c>
      <c r="G576" s="31" t="s">
        <v>87</v>
      </c>
      <c r="H576" s="33" t="s">
        <v>753</v>
      </c>
      <c r="I576" s="31" t="s">
        <v>754</v>
      </c>
      <c r="J576" s="56">
        <v>44863</v>
      </c>
      <c r="K576" s="54"/>
      <c r="L576" s="31" t="s">
        <v>755</v>
      </c>
      <c r="M576" s="57">
        <v>50</v>
      </c>
      <c r="N576" s="54">
        <v>500</v>
      </c>
      <c r="O576" s="31" t="s">
        <v>88</v>
      </c>
      <c r="P576" s="52">
        <v>48000</v>
      </c>
      <c r="Q576" s="164"/>
      <c r="R576" s="35" t="s">
        <v>313</v>
      </c>
      <c r="S576" s="59"/>
      <c r="T576" s="59"/>
      <c r="U576" s="58"/>
      <c r="V576" s="87"/>
      <c r="W576" s="58">
        <f>IF(NOTA[[#This Row],[HARGA/ CTN]]="",NOTA[[#This Row],[JUMLAH_H]],NOTA[[#This Row],[HARGA/ CTN]]*NOTA[[#This Row],[C]])</f>
        <v>24000000</v>
      </c>
      <c r="X576" s="58">
        <f>IF(NOTA[[#This Row],[JUMLAH]]="","",NOTA[[#This Row],[JUMLAH]]*NOTA[[#This Row],[DISC 1]])</f>
        <v>0</v>
      </c>
      <c r="Y576" s="58">
        <f>IF(NOTA[[#This Row],[JUMLAH]]="","",(NOTA[[#This Row],[JUMLAH]]-NOTA[[#This Row],[DISC 1-]])*NOTA[[#This Row],[DISC 2]])</f>
        <v>0</v>
      </c>
      <c r="Z576" s="58">
        <f>IF(NOTA[[#This Row],[JUMLAH]]="","",NOTA[[#This Row],[DISC 1-]]+NOTA[[#This Row],[DISC 2-]])</f>
        <v>0</v>
      </c>
      <c r="AA576" s="58">
        <f>IF(NOTA[[#This Row],[JUMLAH]]="","",NOTA[[#This Row],[JUMLAH]]-NOTA[[#This Row],[DISC]])</f>
        <v>24000000</v>
      </c>
      <c r="AB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576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576" s="58">
        <f>IF(OR(NOTA[[#This Row],[QTY]]="",NOTA[[#This Row],[HARGA SATUAN]]="",),"",NOTA[[#This Row],[QTY]]*NOTA[[#This Row],[HARGA SATUAN]])</f>
        <v>24000000</v>
      </c>
      <c r="AF576" s="56">
        <f ca="1">IF(NOTA[ID_H]="","",INDEX(NOTA[TANGGAL],MATCH(,INDIRECT(ADDRESS(ROW(NOTA[TANGGAL]),COLUMN(NOTA[TANGGAL]))&amp;":"&amp;ADDRESS(ROW(),COLUMN(NOTA[TANGGAL]))),-1)))</f>
        <v>44867</v>
      </c>
      <c r="AG576" s="52" t="str">
        <f ca="1">IF(NOTA[[#This Row],[NAMA BARANG]]="","",INDEX(NOTA[SUPPLIER],MATCH(,INDIRECT(ADDRESS(ROW(NOTA[ID]),COLUMN(NOTA[ID]))&amp;":"&amp;ADDRESS(ROW(),COLUMN(NOTA[ID]))),-1)))</f>
        <v>SAPUTRO OFFICE</v>
      </c>
      <c r="AH576" s="16">
        <f ca="1">IF(NOTA[[#This Row],[ID]]="","",COUNTIF(NOTA[ID_H],NOTA[[#This Row],[ID_H]]))</f>
        <v>1</v>
      </c>
      <c r="AI576" s="16">
        <f>IF(NOTA[[#This Row],[TGL.NOTA]]="",IF(NOTA[[#This Row],[SUPPLIER_H]]="","",#REF!),MONTH(NOTA[[#This Row],[TGL.NOTA]]))</f>
        <v>10</v>
      </c>
      <c r="AJ576" s="16"/>
    </row>
    <row r="577" spans="1:36" ht="20.100000000000001" customHeight="1" x14ac:dyDescent="0.25">
      <c r="A5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3" t="str">
        <f>IF(NOTA[[#This Row],[ID_P]]="","",MATCH(NOTA[[#This Row],[ID_P]],[1]!B_MSK[N_ID],0))</f>
        <v/>
      </c>
      <c r="D577" s="53" t="str">
        <f ca="1">IF(NOTA[[#This Row],[NAMA BARANG]]="","",INDEX(NOTA[ID],MATCH(,INDIRECT(ADDRESS(ROW(NOTA[ID]),COLUMN(NOTA[ID]))&amp;":"&amp;ADDRESS(ROW(),COLUMN(NOTA[ID]))),-1)))</f>
        <v/>
      </c>
      <c r="E577" s="60"/>
      <c r="F577" s="54"/>
      <c r="G577" s="54"/>
      <c r="H577" s="55"/>
      <c r="I577" s="54"/>
      <c r="J577" s="56"/>
      <c r="K577" s="54"/>
      <c r="L577" s="54"/>
      <c r="M577" s="57"/>
      <c r="N577" s="54"/>
      <c r="O577" s="54"/>
      <c r="P577" s="52"/>
      <c r="Q577" s="164"/>
      <c r="R577" s="57"/>
      <c r="S577" s="59"/>
      <c r="T577" s="59"/>
      <c r="U577" s="58"/>
      <c r="V577" s="87"/>
      <c r="W577" s="58" t="str">
        <f>IF(NOTA[[#This Row],[HARGA/ CTN]]="",NOTA[[#This Row],[JUMLAH_H]],NOTA[[#This Row],[HARGA/ CTN]]*NOTA[[#This Row],[C]])</f>
        <v/>
      </c>
      <c r="X577" s="58" t="str">
        <f>IF(NOTA[[#This Row],[JUMLAH]]="","",NOTA[[#This Row],[JUMLAH]]*NOTA[[#This Row],[DISC 1]])</f>
        <v/>
      </c>
      <c r="Y577" s="58" t="str">
        <f>IF(NOTA[[#This Row],[JUMLAH]]="","",(NOTA[[#This Row],[JUMLAH]]-NOTA[[#This Row],[DISC 1-]])*NOTA[[#This Row],[DISC 2]])</f>
        <v/>
      </c>
      <c r="Z577" s="58" t="str">
        <f>IF(NOTA[[#This Row],[JUMLAH]]="","",NOTA[[#This Row],[DISC 1-]]+NOTA[[#This Row],[DISC 2-]])</f>
        <v/>
      </c>
      <c r="AA577" s="58" t="str">
        <f>IF(NOTA[[#This Row],[JUMLAH]]="","",NOTA[[#This Row],[JUMLAH]]-NOTA[[#This Row],[DISC]])</f>
        <v/>
      </c>
      <c r="AB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8" t="str">
        <f>IF(OR(NOTA[[#This Row],[QTY]]="",NOTA[[#This Row],[HARGA SATUAN]]="",),"",NOTA[[#This Row],[QTY]]*NOTA[[#This Row],[HARGA SATUAN]])</f>
        <v/>
      </c>
      <c r="AF577" s="56" t="str">
        <f ca="1">IF(NOTA[ID_H]="","",INDEX(NOTA[TANGGAL],MATCH(,INDIRECT(ADDRESS(ROW(NOTA[TANGGAL]),COLUMN(NOTA[TANGGAL]))&amp;":"&amp;ADDRESS(ROW(),COLUMN(NOTA[TANGGAL]))),-1)))</f>
        <v/>
      </c>
      <c r="AG577" s="52" t="str">
        <f ca="1">IF(NOTA[[#This Row],[NAMA BARANG]]="","",INDEX(NOTA[SUPPLIER],MATCH(,INDIRECT(ADDRESS(ROW(NOTA[ID]),COLUMN(NOTA[ID]))&amp;":"&amp;ADDRESS(ROW(),COLUMN(NOTA[ID]))),-1)))</f>
        <v/>
      </c>
      <c r="AH577" s="16" t="str">
        <f ca="1">IF(NOTA[[#This Row],[ID]]="","",COUNTIF(NOTA[ID_H],NOTA[[#This Row],[ID_H]]))</f>
        <v/>
      </c>
      <c r="AI577" s="16" t="str">
        <f ca="1">IF(NOTA[[#This Row],[TGL.NOTA]]="",IF(NOTA[[#This Row],[SUPPLIER_H]]="","",AI576),MONTH(NOTA[[#This Row],[TGL.NOTA]]))</f>
        <v/>
      </c>
      <c r="AJ577" s="16"/>
    </row>
    <row r="578" spans="1:36" ht="20.100000000000001" customHeight="1" x14ac:dyDescent="0.25">
      <c r="A57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7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578" s="53" t="e">
        <f ca="1">IF(NOTA[[#This Row],[ID_P]]="","",MATCH(NOTA[[#This Row],[ID_P]],[1]!B_MSK[N_ID],0))</f>
        <v>#REF!</v>
      </c>
      <c r="D578" s="53">
        <f ca="1">IF(NOTA[[#This Row],[NAMA BARANG]]="","",INDEX(NOTA[ID],MATCH(,INDIRECT(ADDRESS(ROW(NOTA[ID]),COLUMN(NOTA[ID]))&amp;":"&amp;ADDRESS(ROW(),COLUMN(NOTA[ID]))),-1)))</f>
        <v>130</v>
      </c>
      <c r="E578" s="60"/>
      <c r="F578" s="31" t="s">
        <v>555</v>
      </c>
      <c r="G578" s="31" t="s">
        <v>87</v>
      </c>
      <c r="H578" s="33"/>
      <c r="I578" s="31" t="s">
        <v>756</v>
      </c>
      <c r="J578" s="56">
        <v>44862</v>
      </c>
      <c r="K578" s="54"/>
      <c r="L578" s="31" t="s">
        <v>757</v>
      </c>
      <c r="M578" s="57">
        <v>20</v>
      </c>
      <c r="N578" s="54">
        <f>144*20</f>
        <v>2880</v>
      </c>
      <c r="O578" s="31" t="s">
        <v>88</v>
      </c>
      <c r="P578" s="52"/>
      <c r="Q578" s="164"/>
      <c r="R578" s="35" t="s">
        <v>558</v>
      </c>
      <c r="S578" s="59"/>
      <c r="T578" s="59"/>
      <c r="U578" s="58"/>
      <c r="V578" s="87" t="s">
        <v>237</v>
      </c>
      <c r="W578" s="58" t="str">
        <f>IF(NOTA[[#This Row],[HARGA/ CTN]]="",NOTA[[#This Row],[JUMLAH_H]],NOTA[[#This Row],[HARGA/ CTN]]*NOTA[[#This Row],[C]])</f>
        <v/>
      </c>
      <c r="X578" s="58" t="str">
        <f>IF(NOTA[[#This Row],[JUMLAH]]="","",NOTA[[#This Row],[JUMLAH]]*NOTA[[#This Row],[DISC 1]])</f>
        <v/>
      </c>
      <c r="Y578" s="58" t="str">
        <f>IF(NOTA[[#This Row],[JUMLAH]]="","",(NOTA[[#This Row],[JUMLAH]]-NOTA[[#This Row],[DISC 1-]])*NOTA[[#This Row],[DISC 2]])</f>
        <v/>
      </c>
      <c r="Z578" s="58" t="str">
        <f>IF(NOTA[[#This Row],[JUMLAH]]="","",NOTA[[#This Row],[DISC 1-]]+NOTA[[#This Row],[DISC 2-]])</f>
        <v/>
      </c>
      <c r="AA578" s="58" t="str">
        <f>IF(NOTA[[#This Row],[JUMLAH]]="","",NOTA[[#This Row],[JUMLAH]]-NOTA[[#This Row],[DISC]])</f>
        <v/>
      </c>
      <c r="AB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8" s="58" t="str">
        <f>IF(OR(NOTA[[#This Row],[QTY]]="",NOTA[[#This Row],[HARGA SATUAN]]="",),"",NOTA[[#This Row],[QTY]]*NOTA[[#This Row],[HARGA SATUAN]])</f>
        <v/>
      </c>
      <c r="AF578" s="56">
        <f ca="1">IF(NOTA[ID_H]="","",INDEX(NOTA[TANGGAL],MATCH(,INDIRECT(ADDRESS(ROW(NOTA[TANGGAL]),COLUMN(NOTA[TANGGAL]))&amp;":"&amp;ADDRESS(ROW(),COLUMN(NOTA[TANGGAL]))),-1)))</f>
        <v>44867</v>
      </c>
      <c r="AG578" s="52" t="str">
        <f ca="1">IF(NOTA[[#This Row],[NAMA BARANG]]="","",INDEX(NOTA[SUPPLIER],MATCH(,INDIRECT(ADDRESS(ROW(NOTA[ID]),COLUMN(NOTA[ID]))&amp;":"&amp;ADDRESS(ROW(),COLUMN(NOTA[ID]))),-1)))</f>
        <v>BINTANG JAYA</v>
      </c>
      <c r="AH578" s="16">
        <f ca="1">IF(NOTA[[#This Row],[ID]]="","",COUNTIF(NOTA[ID_H],NOTA[[#This Row],[ID_H]]))</f>
        <v>2</v>
      </c>
      <c r="AI578" s="16">
        <f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3" t="str">
        <f>IF(NOTA[[#This Row],[ID_P]]="","",MATCH(NOTA[[#This Row],[ID_P]],[1]!B_MSK[N_ID],0))</f>
        <v/>
      </c>
      <c r="D579" s="53">
        <f ca="1">IF(NOTA[[#This Row],[NAMA BARANG]]="","",INDEX(NOTA[ID],MATCH(,INDIRECT(ADDRESS(ROW(NOTA[ID]),COLUMN(NOTA[ID]))&amp;":"&amp;ADDRESS(ROW(),COLUMN(NOTA[ID]))),-1)))</f>
        <v>130</v>
      </c>
      <c r="E579" s="60"/>
      <c r="F579" s="54"/>
      <c r="G579" s="54"/>
      <c r="H579" s="55"/>
      <c r="I579" s="54"/>
      <c r="J579" s="56"/>
      <c r="K579" s="54"/>
      <c r="L579" s="31" t="s">
        <v>642</v>
      </c>
      <c r="M579" s="57">
        <v>3</v>
      </c>
      <c r="N579" s="31">
        <f>144*3</f>
        <v>432</v>
      </c>
      <c r="O579" s="31" t="s">
        <v>88</v>
      </c>
      <c r="P579" s="52"/>
      <c r="Q579" s="164"/>
      <c r="R579" s="35" t="s">
        <v>558</v>
      </c>
      <c r="S579" s="59"/>
      <c r="T579" s="59"/>
      <c r="U579" s="58"/>
      <c r="V579" s="87" t="s">
        <v>237</v>
      </c>
      <c r="W579" s="58" t="str">
        <f>IF(NOTA[[#This Row],[HARGA/ CTN]]="",NOTA[[#This Row],[JUMLAH_H]],NOTA[[#This Row],[HARGA/ CTN]]*NOTA[[#This Row],[C]])</f>
        <v/>
      </c>
      <c r="X579" s="58" t="str">
        <f>IF(NOTA[[#This Row],[JUMLAH]]="","",NOTA[[#This Row],[JUMLAH]]*NOTA[[#This Row],[DISC 1]])</f>
        <v/>
      </c>
      <c r="Y579" s="58" t="str">
        <f>IF(NOTA[[#This Row],[JUMLAH]]="","",(NOTA[[#This Row],[JUMLAH]]-NOTA[[#This Row],[DISC 1-]])*NOTA[[#This Row],[DISC 2]])</f>
        <v/>
      </c>
      <c r="Z579" s="58" t="str">
        <f>IF(NOTA[[#This Row],[JUMLAH]]="","",NOTA[[#This Row],[DISC 1-]]+NOTA[[#This Row],[DISC 2-]])</f>
        <v/>
      </c>
      <c r="AA579" s="58" t="str">
        <f>IF(NOTA[[#This Row],[JUMLAH]]="","",NOTA[[#This Row],[JUMLAH]]-NOTA[[#This Row],[DISC]])</f>
        <v/>
      </c>
      <c r="AB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7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9" s="58" t="str">
        <f>IF(OR(NOTA[[#This Row],[QTY]]="",NOTA[[#This Row],[HARGA SATUAN]]="",),"",NOTA[[#This Row],[QTY]]*NOTA[[#This Row],[HARGA SATUAN]])</f>
        <v/>
      </c>
      <c r="AF579" s="56">
        <f ca="1">IF(NOTA[ID_H]="","",INDEX(NOTA[TANGGAL],MATCH(,INDIRECT(ADDRESS(ROW(NOTA[TANGGAL]),COLUMN(NOTA[TANGGAL]))&amp;":"&amp;ADDRESS(ROW(),COLUMN(NOTA[TANGGAL]))),-1)))</f>
        <v>44867</v>
      </c>
      <c r="AG579" s="52" t="str">
        <f ca="1">IF(NOTA[[#This Row],[NAMA BARANG]]="","",INDEX(NOTA[SUPPLIER],MATCH(,INDIRECT(ADDRESS(ROW(NOTA[ID]),COLUMN(NOTA[ID]))&amp;":"&amp;ADDRESS(ROW(),COLUMN(NOTA[ID]))),-1)))</f>
        <v>BINTANG JAYA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3" t="str">
        <f>IF(NOTA[[#This Row],[ID_P]]="","",MATCH(NOTA[[#This Row],[ID_P]],[1]!B_MSK[N_ID],0))</f>
        <v/>
      </c>
      <c r="D580" s="53" t="str">
        <f ca="1">IF(NOTA[[#This Row],[NAMA BARANG]]="","",INDEX(NOTA[ID],MATCH(,INDIRECT(ADDRESS(ROW(NOTA[ID]),COLUMN(NOTA[ID]))&amp;":"&amp;ADDRESS(ROW(),COLUMN(NOTA[ID]))),-1)))</f>
        <v/>
      </c>
      <c r="E580" s="60"/>
      <c r="F580" s="31"/>
      <c r="G580" s="31"/>
      <c r="H580" s="33"/>
      <c r="I580" s="54"/>
      <c r="J580" s="56"/>
      <c r="K580" s="54"/>
      <c r="L580" s="31"/>
      <c r="M580" s="57"/>
      <c r="N580" s="54"/>
      <c r="O580" s="31"/>
      <c r="P580" s="52"/>
      <c r="Q580" s="164"/>
      <c r="R580" s="35"/>
      <c r="S580" s="59"/>
      <c r="T580" s="59"/>
      <c r="U580" s="58"/>
      <c r="V580" s="87"/>
      <c r="W580" s="58" t="str">
        <f>IF(NOTA[[#This Row],[HARGA/ CTN]]="",NOTA[[#This Row],[JUMLAH_H]],NOTA[[#This Row],[HARGA/ CTN]]*NOTA[[#This Row],[C]])</f>
        <v/>
      </c>
      <c r="X580" s="58" t="str">
        <f>IF(NOTA[[#This Row],[JUMLAH]]="","",NOTA[[#This Row],[JUMLAH]]*NOTA[[#This Row],[DISC 1]])</f>
        <v/>
      </c>
      <c r="Y580" s="58" t="str">
        <f>IF(NOTA[[#This Row],[JUMLAH]]="","",(NOTA[[#This Row],[JUMLAH]]-NOTA[[#This Row],[DISC 1-]])*NOTA[[#This Row],[DISC 2]])</f>
        <v/>
      </c>
      <c r="Z580" s="58" t="str">
        <f>IF(NOTA[[#This Row],[JUMLAH]]="","",NOTA[[#This Row],[DISC 1-]]+NOTA[[#This Row],[DISC 2-]])</f>
        <v/>
      </c>
      <c r="AA580" s="58" t="str">
        <f>IF(NOTA[[#This Row],[JUMLAH]]="","",NOTA[[#This Row],[JUMLAH]]-NOTA[[#This Row],[DISC]])</f>
        <v/>
      </c>
      <c r="AB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8" t="str">
        <f>IF(OR(NOTA[[#This Row],[QTY]]="",NOTA[[#This Row],[HARGA SATUAN]]="",),"",NOTA[[#This Row],[QTY]]*NOTA[[#This Row],[HARGA SATUAN]])</f>
        <v/>
      </c>
      <c r="AF580" s="56" t="str">
        <f ca="1">IF(NOTA[ID_H]="","",INDEX(NOTA[TANGGAL],MATCH(,INDIRECT(ADDRESS(ROW(NOTA[TANGGAL]),COLUMN(NOTA[TANGGAL]))&amp;":"&amp;ADDRESS(ROW(),COLUMN(NOTA[TANGGAL]))),-1)))</f>
        <v/>
      </c>
      <c r="AG580" s="52" t="str">
        <f ca="1">IF(NOTA[[#This Row],[NAMA BARANG]]="","",INDEX(NOTA[SUPPLIER],MATCH(,INDIRECT(ADDRESS(ROW(NOTA[ID]),COLUMN(NOTA[ID]))&amp;":"&amp;ADDRESS(ROW(),COLUMN(NOTA[ID]))),-1)))</f>
        <v/>
      </c>
      <c r="AH580" s="16" t="str">
        <f ca="1">IF(NOTA[[#This Row],[ID]]="","",COUNTIF(NOTA[ID_H],NOTA[[#This Row],[ID_H]]))</f>
        <v/>
      </c>
      <c r="AI580" s="16" t="str">
        <f ca="1">IF(NOTA[[#This Row],[TGL.NOTA]]="",IF(NOTA[[#This Row],[SUPPLIER_H]]="","",AI579),MONTH(NOTA[[#This Row],[TGL.NOTA]]))</f>
        <v/>
      </c>
      <c r="AJ580" s="16"/>
    </row>
    <row r="581" spans="1:36" ht="20.100000000000001" customHeight="1" x14ac:dyDescent="0.25">
      <c r="A581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5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581" s="53" t="e">
        <f ca="1">IF(NOTA[[#This Row],[ID_P]]="","",MATCH(NOTA[[#This Row],[ID_P]],[1]!B_MSK[N_ID],0))</f>
        <v>#REF!</v>
      </c>
      <c r="D581" s="53">
        <f ca="1">IF(NOTA[[#This Row],[NAMA BARANG]]="","",INDEX(NOTA[ID],MATCH(,INDIRECT(ADDRESS(ROW(NOTA[ID]),COLUMN(NOTA[ID]))&amp;":"&amp;ADDRESS(ROW(),COLUMN(NOTA[ID]))),-1)))</f>
        <v>131</v>
      </c>
      <c r="E581" s="32"/>
      <c r="F581" s="31" t="s">
        <v>367</v>
      </c>
      <c r="G581" s="31" t="s">
        <v>87</v>
      </c>
      <c r="H581" s="33" t="s">
        <v>758</v>
      </c>
      <c r="I581" s="31"/>
      <c r="J581" s="56">
        <v>44865</v>
      </c>
      <c r="K581" s="54"/>
      <c r="L581" s="31" t="s">
        <v>798</v>
      </c>
      <c r="M581" s="57">
        <v>3</v>
      </c>
      <c r="N581" s="54">
        <v>300</v>
      </c>
      <c r="O581" s="31" t="s">
        <v>482</v>
      </c>
      <c r="P581" s="52">
        <v>17500</v>
      </c>
      <c r="Q581" s="164"/>
      <c r="R581" s="35" t="s">
        <v>483</v>
      </c>
      <c r="S581" s="59"/>
      <c r="T581" s="59"/>
      <c r="U581" s="58"/>
      <c r="V581" s="87"/>
      <c r="W581" s="58">
        <f>IF(NOTA[[#This Row],[HARGA/ CTN]]="",NOTA[[#This Row],[JUMLAH_H]],NOTA[[#This Row],[HARGA/ CTN]]*NOTA[[#This Row],[C]])</f>
        <v>5250000</v>
      </c>
      <c r="X581" s="58">
        <f>IF(NOTA[[#This Row],[JUMLAH]]="","",NOTA[[#This Row],[JUMLAH]]*NOTA[[#This Row],[DISC 1]])</f>
        <v>0</v>
      </c>
      <c r="Y581" s="58">
        <f>IF(NOTA[[#This Row],[JUMLAH]]="","",(NOTA[[#This Row],[JUMLAH]]-NOTA[[#This Row],[DISC 1-]])*NOTA[[#This Row],[DISC 2]])</f>
        <v>0</v>
      </c>
      <c r="Z581" s="58">
        <f>IF(NOTA[[#This Row],[JUMLAH]]="","",NOTA[[#This Row],[DISC 1-]]+NOTA[[#This Row],[DISC 2-]])</f>
        <v>0</v>
      </c>
      <c r="AA581" s="58">
        <f>IF(NOTA[[#This Row],[JUMLAH]]="","",NOTA[[#This Row],[JUMLAH]]-NOTA[[#This Row],[DISC]])</f>
        <v>5250000</v>
      </c>
      <c r="AB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81" s="58">
        <f>IF(OR(NOTA[[#This Row],[QTY]]="",NOTA[[#This Row],[HARGA SATUAN]]="",),"",NOTA[[#This Row],[QTY]]*NOTA[[#This Row],[HARGA SATUAN]])</f>
        <v>5250000</v>
      </c>
      <c r="AF581" s="56">
        <f ca="1">IF(NOTA[ID_H]="","",INDEX(NOTA[TANGGAL],MATCH(,INDIRECT(ADDRESS(ROW(NOTA[TANGGAL]),COLUMN(NOTA[TANGGAL]))&amp;":"&amp;ADDRESS(ROW(),COLUMN(NOTA[TANGGAL]))),-1)))</f>
        <v>44867</v>
      </c>
      <c r="AG581" s="52" t="str">
        <f ca="1">IF(NOTA[[#This Row],[NAMA BARANG]]="","",INDEX(NOTA[SUPPLIER],MATCH(,INDIRECT(ADDRESS(ROW(NOTA[ID]),COLUMN(NOTA[ID]))&amp;":"&amp;ADDRESS(ROW(),COLUMN(NOTA[ID]))),-1)))</f>
        <v>ETJ</v>
      </c>
      <c r="AH581" s="16">
        <f ca="1">IF(NOTA[[#This Row],[ID]]="","",COUNTIF(NOTA[ID_H],NOTA[[#This Row],[ID_H]]))</f>
        <v>7</v>
      </c>
      <c r="AI581" s="16">
        <f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3" t="str">
        <f>IF(NOTA[[#This Row],[ID_P]]="","",MATCH(NOTA[[#This Row],[ID_P]],[1]!B_MSK[N_ID],0))</f>
        <v/>
      </c>
      <c r="D582" s="53">
        <f ca="1">IF(NOTA[[#This Row],[NAMA BARANG]]="","",INDEX(NOTA[ID],MATCH(,INDIRECT(ADDRESS(ROW(NOTA[ID]),COLUMN(NOTA[ID]))&amp;":"&amp;ADDRESS(ROW(),COLUMN(NOTA[ID]))),-1)))</f>
        <v>131</v>
      </c>
      <c r="E582" s="60"/>
      <c r="F582" s="54"/>
      <c r="G582" s="54"/>
      <c r="H582" s="55"/>
      <c r="I582" s="54"/>
      <c r="J582" s="56"/>
      <c r="K582" s="54"/>
      <c r="L582" s="31" t="s">
        <v>799</v>
      </c>
      <c r="M582" s="57">
        <v>3</v>
      </c>
      <c r="N582" s="54">
        <v>180</v>
      </c>
      <c r="O582" s="31" t="s">
        <v>88</v>
      </c>
      <c r="P582" s="52">
        <v>12000</v>
      </c>
      <c r="Q582" s="164"/>
      <c r="R582" s="35" t="s">
        <v>759</v>
      </c>
      <c r="S582" s="59"/>
      <c r="T582" s="59"/>
      <c r="U582" s="58"/>
      <c r="V582" s="87"/>
      <c r="W582" s="58">
        <f>IF(NOTA[[#This Row],[HARGA/ CTN]]="",NOTA[[#This Row],[JUMLAH_H]],NOTA[[#This Row],[HARGA/ CTN]]*NOTA[[#This Row],[C]])</f>
        <v>2160000</v>
      </c>
      <c r="X582" s="58">
        <f>IF(NOTA[[#This Row],[JUMLAH]]="","",NOTA[[#This Row],[JUMLAH]]*NOTA[[#This Row],[DISC 1]])</f>
        <v>0</v>
      </c>
      <c r="Y582" s="58">
        <f>IF(NOTA[[#This Row],[JUMLAH]]="","",(NOTA[[#This Row],[JUMLAH]]-NOTA[[#This Row],[DISC 1-]])*NOTA[[#This Row],[DISC 2]])</f>
        <v>0</v>
      </c>
      <c r="Z582" s="58">
        <f>IF(NOTA[[#This Row],[JUMLAH]]="","",NOTA[[#This Row],[DISC 1-]]+NOTA[[#This Row],[DISC 2-]])</f>
        <v>0</v>
      </c>
      <c r="AA582" s="58">
        <f>IF(NOTA[[#This Row],[JUMLAH]]="","",NOTA[[#This Row],[JUMLAH]]-NOTA[[#This Row],[DISC]])</f>
        <v>2160000</v>
      </c>
      <c r="AB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2" s="58">
        <f>IF(OR(NOTA[[#This Row],[QTY]]="",NOTA[[#This Row],[HARGA SATUAN]]="",),"",NOTA[[#This Row],[QTY]]*NOTA[[#This Row],[HARGA SATUAN]])</f>
        <v>2160000</v>
      </c>
      <c r="AF582" s="56">
        <f ca="1">IF(NOTA[ID_H]="","",INDEX(NOTA[TANGGAL],MATCH(,INDIRECT(ADDRESS(ROW(NOTA[TANGGAL]),COLUMN(NOTA[TANGGAL]))&amp;":"&amp;ADDRESS(ROW(),COLUMN(NOTA[TANGGAL]))),-1)))</f>
        <v>44867</v>
      </c>
      <c r="AG582" s="52" t="str">
        <f ca="1">IF(NOTA[[#This Row],[NAMA BARANG]]="","",INDEX(NOTA[SUPPLIER],MATCH(,INDIRECT(ADDRESS(ROW(NOTA[ID]),COLUMN(NOTA[ID]))&amp;":"&amp;ADDRESS(ROW(),COLUMN(NOTA[ID]))),-1)))</f>
        <v>ETJ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3" t="str">
        <f>IF(NOTA[[#This Row],[ID_P]]="","",MATCH(NOTA[[#This Row],[ID_P]],[1]!B_MSK[N_ID],0))</f>
        <v/>
      </c>
      <c r="D583" s="53">
        <f ca="1">IF(NOTA[[#This Row],[NAMA BARANG]]="","",INDEX(NOTA[ID],MATCH(,INDIRECT(ADDRESS(ROW(NOTA[ID]),COLUMN(NOTA[ID]))&amp;":"&amp;ADDRESS(ROW(),COLUMN(NOTA[ID]))),-1)))</f>
        <v>131</v>
      </c>
      <c r="E583" s="60"/>
      <c r="F583" s="54"/>
      <c r="G583" s="54"/>
      <c r="H583" s="55"/>
      <c r="I583" s="54"/>
      <c r="J583" s="56"/>
      <c r="K583" s="54"/>
      <c r="L583" s="31" t="s">
        <v>800</v>
      </c>
      <c r="M583" s="57">
        <v>3</v>
      </c>
      <c r="N583" s="54">
        <v>180</v>
      </c>
      <c r="O583" s="31" t="s">
        <v>88</v>
      </c>
      <c r="P583" s="52">
        <v>12000</v>
      </c>
      <c r="Q583" s="164"/>
      <c r="R583" s="35" t="s">
        <v>759</v>
      </c>
      <c r="S583" s="59"/>
      <c r="T583" s="59"/>
      <c r="U583" s="58"/>
      <c r="V583" s="87"/>
      <c r="W583" s="58">
        <f>IF(NOTA[[#This Row],[HARGA/ CTN]]="",NOTA[[#This Row],[JUMLAH_H]],NOTA[[#This Row],[HARGA/ CTN]]*NOTA[[#This Row],[C]])</f>
        <v>2160000</v>
      </c>
      <c r="X583" s="58">
        <f>IF(NOTA[[#This Row],[JUMLAH]]="","",NOTA[[#This Row],[JUMLAH]]*NOTA[[#This Row],[DISC 1]])</f>
        <v>0</v>
      </c>
      <c r="Y583" s="58">
        <f>IF(NOTA[[#This Row],[JUMLAH]]="","",(NOTA[[#This Row],[JUMLAH]]-NOTA[[#This Row],[DISC 1-]])*NOTA[[#This Row],[DISC 2]])</f>
        <v>0</v>
      </c>
      <c r="Z583" s="58">
        <f>IF(NOTA[[#This Row],[JUMLAH]]="","",NOTA[[#This Row],[DISC 1-]]+NOTA[[#This Row],[DISC 2-]])</f>
        <v>0</v>
      </c>
      <c r="AA583" s="58">
        <f>IF(NOTA[[#This Row],[JUMLAH]]="","",NOTA[[#This Row],[JUMLAH]]-NOTA[[#This Row],[DISC]])</f>
        <v>2160000</v>
      </c>
      <c r="AB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583" s="58">
        <f>IF(OR(NOTA[[#This Row],[QTY]]="",NOTA[[#This Row],[HARGA SATUAN]]="",),"",NOTA[[#This Row],[QTY]]*NOTA[[#This Row],[HARGA SATUAN]])</f>
        <v>2160000</v>
      </c>
      <c r="AF583" s="56">
        <f ca="1">IF(NOTA[ID_H]="","",INDEX(NOTA[TANGGAL],MATCH(,INDIRECT(ADDRESS(ROW(NOTA[TANGGAL]),COLUMN(NOTA[TANGGAL]))&amp;":"&amp;ADDRESS(ROW(),COLUMN(NOTA[TANGGAL]))),-1)))</f>
        <v>44867</v>
      </c>
      <c r="AG583" s="52" t="str">
        <f ca="1">IF(NOTA[[#This Row],[NAMA BARANG]]="","",INDEX(NOTA[SUPPLIER],MATCH(,INDIRECT(ADDRESS(ROW(NOTA[ID]),COLUMN(NOTA[ID]))&amp;":"&amp;ADDRESS(ROW(),COLUMN(NOTA[ID]))),-1)))</f>
        <v>ETJ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3" t="str">
        <f>IF(NOTA[[#This Row],[ID_P]]="","",MATCH(NOTA[[#This Row],[ID_P]],[1]!B_MSK[N_ID],0))</f>
        <v/>
      </c>
      <c r="D584" s="53">
        <f ca="1">IF(NOTA[[#This Row],[NAMA BARANG]]="","",INDEX(NOTA[ID],MATCH(,INDIRECT(ADDRESS(ROW(NOTA[ID]),COLUMN(NOTA[ID]))&amp;":"&amp;ADDRESS(ROW(),COLUMN(NOTA[ID]))),-1)))</f>
        <v>131</v>
      </c>
      <c r="E584" s="60"/>
      <c r="F584" s="54"/>
      <c r="G584" s="54"/>
      <c r="H584" s="55"/>
      <c r="I584" s="54"/>
      <c r="J584" s="56"/>
      <c r="K584" s="54"/>
      <c r="L584" s="31" t="s">
        <v>760</v>
      </c>
      <c r="M584" s="57">
        <v>3</v>
      </c>
      <c r="N584" s="54">
        <v>24</v>
      </c>
      <c r="O584" s="31" t="s">
        <v>210</v>
      </c>
      <c r="P584" s="52">
        <v>120000</v>
      </c>
      <c r="Q584" s="164"/>
      <c r="R584" s="35" t="s">
        <v>666</v>
      </c>
      <c r="S584" s="59"/>
      <c r="T584" s="59"/>
      <c r="U584" s="58"/>
      <c r="V584" s="87" t="s">
        <v>761</v>
      </c>
      <c r="W584" s="58">
        <f>IF(NOTA[[#This Row],[HARGA/ CTN]]="",NOTA[[#This Row],[JUMLAH_H]],NOTA[[#This Row],[HARGA/ CTN]]*NOTA[[#This Row],[C]])</f>
        <v>2880000</v>
      </c>
      <c r="X584" s="58">
        <f>IF(NOTA[[#This Row],[JUMLAH]]="","",NOTA[[#This Row],[JUMLAH]]*NOTA[[#This Row],[DISC 1]])</f>
        <v>0</v>
      </c>
      <c r="Y584" s="58">
        <f>IF(NOTA[[#This Row],[JUMLAH]]="","",(NOTA[[#This Row],[JUMLAH]]-NOTA[[#This Row],[DISC 1-]])*NOTA[[#This Row],[DISC 2]])</f>
        <v>0</v>
      </c>
      <c r="Z584" s="58">
        <f>IF(NOTA[[#This Row],[JUMLAH]]="","",NOTA[[#This Row],[DISC 1-]]+NOTA[[#This Row],[DISC 2-]])</f>
        <v>0</v>
      </c>
      <c r="AA584" s="58">
        <f>IF(NOTA[[#This Row],[JUMLAH]]="","",NOTA[[#This Row],[JUMLAH]]-NOTA[[#This Row],[DISC]])</f>
        <v>2880000</v>
      </c>
      <c r="AB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584" s="58">
        <f>IF(OR(NOTA[[#This Row],[QTY]]="",NOTA[[#This Row],[HARGA SATUAN]]="",),"",NOTA[[#This Row],[QTY]]*NOTA[[#This Row],[HARGA SATUAN]])</f>
        <v>2880000</v>
      </c>
      <c r="AF584" s="56">
        <f ca="1">IF(NOTA[ID_H]="","",INDEX(NOTA[TANGGAL],MATCH(,INDIRECT(ADDRESS(ROW(NOTA[TANGGAL]),COLUMN(NOTA[TANGGAL]))&amp;":"&amp;ADDRESS(ROW(),COLUMN(NOTA[TANGGAL]))),-1)))</f>
        <v>44867</v>
      </c>
      <c r="AG584" s="52" t="str">
        <f ca="1">IF(NOTA[[#This Row],[NAMA BARANG]]="","",INDEX(NOTA[SUPPLIER],MATCH(,INDIRECT(ADDRESS(ROW(NOTA[ID]),COLUMN(NOTA[ID]))&amp;":"&amp;ADDRESS(ROW(),COLUMN(NOTA[ID]))),-1)))</f>
        <v>ETJ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131</v>
      </c>
      <c r="E585" s="60"/>
      <c r="F585" s="31"/>
      <c r="G585" s="31"/>
      <c r="H585" s="33"/>
      <c r="I585" s="31"/>
      <c r="J585" s="56"/>
      <c r="K585" s="31"/>
      <c r="L585" s="31" t="s">
        <v>762</v>
      </c>
      <c r="M585" s="57">
        <v>2</v>
      </c>
      <c r="N585" s="54">
        <v>40</v>
      </c>
      <c r="O585" s="31" t="s">
        <v>210</v>
      </c>
      <c r="P585" s="52">
        <v>72500</v>
      </c>
      <c r="Q585" s="164"/>
      <c r="R585" s="35" t="s">
        <v>434</v>
      </c>
      <c r="S585" s="59"/>
      <c r="T585" s="59"/>
      <c r="U585" s="58"/>
      <c r="V585" s="87"/>
      <c r="W585" s="58">
        <f>IF(NOTA[[#This Row],[HARGA/ CTN]]="",NOTA[[#This Row],[JUMLAH_H]],NOTA[[#This Row],[HARGA/ CTN]]*NOTA[[#This Row],[C]])</f>
        <v>2900000</v>
      </c>
      <c r="X585" s="58">
        <f>IF(NOTA[[#This Row],[JUMLAH]]="","",NOTA[[#This Row],[JUMLAH]]*NOTA[[#This Row],[DISC 1]])</f>
        <v>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0</v>
      </c>
      <c r="AA585" s="58">
        <f>IF(NOTA[[#This Row],[JUMLAH]]="","",NOTA[[#This Row],[JUMLAH]]-NOTA[[#This Row],[DISC]])</f>
        <v>2900000</v>
      </c>
      <c r="AB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585" s="58">
        <f>IF(OR(NOTA[[#This Row],[QTY]]="",NOTA[[#This Row],[HARGA SATUAN]]="",),"",NOTA[[#This Row],[QTY]]*NOTA[[#This Row],[HARGA SATUAN]])</f>
        <v>2900000</v>
      </c>
      <c r="AF585" s="56">
        <f ca="1">IF(NOTA[ID_H]="","",INDEX(NOTA[TANGGAL],MATCH(,INDIRECT(ADDRESS(ROW(NOTA[TANGGAL]),COLUMN(NOTA[TANGGAL]))&amp;":"&amp;ADDRESS(ROW(),COLUMN(NOTA[TANGGAL]))),-1)))</f>
        <v>44867</v>
      </c>
      <c r="AG585" s="52" t="str">
        <f ca="1">IF(NOTA[[#This Row],[NAMA BARANG]]="","",INDEX(NOTA[SUPPLIER],MATCH(,INDIRECT(ADDRESS(ROW(NOTA[ID]),COLUMN(NOTA[ID]))&amp;":"&amp;ADDRESS(ROW(),COLUMN(NOTA[ID]))),-1)))</f>
        <v>ETJ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>
        <f ca="1">IF(NOTA[[#This Row],[NAMA BARANG]]="","",INDEX(NOTA[ID],MATCH(,INDIRECT(ADDRESS(ROW(NOTA[ID]),COLUMN(NOTA[ID]))&amp;":"&amp;ADDRESS(ROW(),COLUMN(NOTA[ID]))),-1)))</f>
        <v>131</v>
      </c>
      <c r="E586" s="60"/>
      <c r="F586" s="54"/>
      <c r="G586" s="54"/>
      <c r="H586" s="55"/>
      <c r="I586" s="54"/>
      <c r="J586" s="56"/>
      <c r="K586" s="54"/>
      <c r="L586" s="31" t="s">
        <v>763</v>
      </c>
      <c r="M586" s="57">
        <v>2</v>
      </c>
      <c r="N586" s="54">
        <v>1000</v>
      </c>
      <c r="O586" s="31" t="s">
        <v>104</v>
      </c>
      <c r="P586" s="52">
        <v>5800</v>
      </c>
      <c r="Q586" s="164"/>
      <c r="R586" s="35" t="s">
        <v>764</v>
      </c>
      <c r="S586" s="59"/>
      <c r="T586" s="59"/>
      <c r="U586" s="58"/>
      <c r="V586" s="87"/>
      <c r="W586" s="58">
        <f>IF(NOTA[[#This Row],[HARGA/ CTN]]="",NOTA[[#This Row],[JUMLAH_H]],NOTA[[#This Row],[HARGA/ CTN]]*NOTA[[#This Row],[C]])</f>
        <v>5800000</v>
      </c>
      <c r="X586" s="58">
        <f>IF(NOTA[[#This Row],[JUMLAH]]="","",NOTA[[#This Row],[JUMLAH]]*NOTA[[#This Row],[DISC 1]])</f>
        <v>0</v>
      </c>
      <c r="Y586" s="58">
        <f>IF(NOTA[[#This Row],[JUMLAH]]="","",(NOTA[[#This Row],[JUMLAH]]-NOTA[[#This Row],[DISC 1-]])*NOTA[[#This Row],[DISC 2]])</f>
        <v>0</v>
      </c>
      <c r="Z586" s="58">
        <f>IF(NOTA[[#This Row],[JUMLAH]]="","",NOTA[[#This Row],[DISC 1-]]+NOTA[[#This Row],[DISC 2-]])</f>
        <v>0</v>
      </c>
      <c r="AA586" s="58">
        <f>IF(NOTA[[#This Row],[JUMLAH]]="","",NOTA[[#This Row],[JUMLAH]]-NOTA[[#This Row],[DISC]])</f>
        <v>5800000</v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586" s="58">
        <f>IF(OR(NOTA[[#This Row],[QTY]]="",NOTA[[#This Row],[HARGA SATUAN]]="",),"",NOTA[[#This Row],[QTY]]*NOTA[[#This Row],[HARGA SATUAN]])</f>
        <v>5800000</v>
      </c>
      <c r="AF586" s="56">
        <f ca="1">IF(NOTA[ID_H]="","",INDEX(NOTA[TANGGAL],MATCH(,INDIRECT(ADDRESS(ROW(NOTA[TANGGAL]),COLUMN(NOTA[TANGGAL]))&amp;":"&amp;ADDRESS(ROW(),COLUMN(NOTA[TANGGAL]))),-1)))</f>
        <v>44867</v>
      </c>
      <c r="AG586" s="52" t="str">
        <f ca="1">IF(NOTA[[#This Row],[NAMA BARANG]]="","",INDEX(NOTA[SUPPLIER],MATCH(,INDIRECT(ADDRESS(ROW(NOTA[ID]),COLUMN(NOTA[ID]))&amp;":"&amp;ADDRESS(ROW(),COLUMN(NOTA[ID]))),-1)))</f>
        <v>ETJ</v>
      </c>
      <c r="AH586" s="16" t="str">
        <f ca="1">IF(NOTA[[#This Row],[ID]]="","",COUNTIF(NOTA[ID_H],NOTA[[#This Row],[ID_H]]))</f>
        <v/>
      </c>
      <c r="AI586" s="16">
        <f ca="1">IF(NOTA[[#This Row],[TGL.NOTA]]="",IF(NOTA[[#This Row],[SUPPLIER_H]]="","",AI585),MONTH(NOTA[[#This Row],[TGL.NOTA]]))</f>
        <v>10</v>
      </c>
      <c r="AJ586" s="16"/>
    </row>
    <row r="587" spans="1:36" ht="20.100000000000001" customHeight="1" x14ac:dyDescent="0.25">
      <c r="A5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3" t="str">
        <f>IF(NOTA[[#This Row],[ID_P]]="","",MATCH(NOTA[[#This Row],[ID_P]],[1]!B_MSK[N_ID],0))</f>
        <v/>
      </c>
      <c r="D587" s="53">
        <f ca="1">IF(NOTA[[#This Row],[NAMA BARANG]]="","",INDEX(NOTA[ID],MATCH(,INDIRECT(ADDRESS(ROW(NOTA[ID]),COLUMN(NOTA[ID]))&amp;":"&amp;ADDRESS(ROW(),COLUMN(NOTA[ID]))),-1)))</f>
        <v>131</v>
      </c>
      <c r="E587" s="60"/>
      <c r="F587" s="31"/>
      <c r="G587" s="31"/>
      <c r="H587" s="33"/>
      <c r="I587" s="31"/>
      <c r="J587" s="56"/>
      <c r="K587" s="54"/>
      <c r="L587" s="31" t="s">
        <v>801</v>
      </c>
      <c r="M587" s="57">
        <v>1</v>
      </c>
      <c r="N587" s="54">
        <v>160</v>
      </c>
      <c r="O587" s="31" t="s">
        <v>210</v>
      </c>
      <c r="P587" s="52">
        <v>7500</v>
      </c>
      <c r="Q587" s="164"/>
      <c r="R587" s="35" t="s">
        <v>765</v>
      </c>
      <c r="S587" s="59"/>
      <c r="T587" s="59"/>
      <c r="U587" s="58">
        <f>7500*160</f>
        <v>1200000</v>
      </c>
      <c r="V587" s="87" t="s">
        <v>559</v>
      </c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0</v>
      </c>
      <c r="AA587" s="58">
        <f>IF(NOTA[[#This Row],[JUMLAH]]="","",NOTA[[#This Row],[JUMLAH]]-NOTA[[#This Row],[DISC]])</f>
        <v>1200000</v>
      </c>
      <c r="AB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58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44867</v>
      </c>
      <c r="AG587" s="52" t="str">
        <f ca="1">IF(NOTA[[#This Row],[NAMA BARANG]]="","",INDEX(NOTA[SUPPLIER],MATCH(,INDIRECT(ADDRESS(ROW(NOTA[ID]),COLUMN(NOTA[ID]))&amp;":"&amp;ADDRESS(ROW(),COLUMN(NOTA[ID]))),-1)))</f>
        <v>ETJ</v>
      </c>
      <c r="AH587" s="16" t="str">
        <f ca="1">IF(NOTA[[#This Row],[ID]]="","",COUNTIF(NOTA[ID_H],NOTA[[#This Row],[ID_H]]))</f>
        <v/>
      </c>
      <c r="AI587" s="16">
        <f ca="1"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 t="str">
        <f ca="1">IF(NOTA[[#This Row],[NAMA BARANG]]="","",INDEX(NOTA[ID],MATCH(,INDIRECT(ADDRESS(ROW(NOTA[ID]),COLUMN(NOTA[ID]))&amp;":"&amp;ADDRESS(ROW(),COLUMN(NOTA[ID]))),-1)))</f>
        <v/>
      </c>
      <c r="E588" s="60"/>
      <c r="F588" s="54"/>
      <c r="G588" s="54"/>
      <c r="H588" s="55"/>
      <c r="I588" s="54"/>
      <c r="J588" s="56"/>
      <c r="K588" s="54"/>
      <c r="L588" s="31"/>
      <c r="M588" s="57"/>
      <c r="N588" s="54"/>
      <c r="O588" s="31"/>
      <c r="P588" s="52"/>
      <c r="Q588" s="164"/>
      <c r="R588" s="35"/>
      <c r="S588" s="59"/>
      <c r="T588" s="59"/>
      <c r="U588" s="58"/>
      <c r="V588" s="87"/>
      <c r="W588" s="58" t="str">
        <f>IF(NOTA[[#This Row],[HARGA/ CTN]]="",NOTA[[#This Row],[JUMLAH_H]],NOTA[[#This Row],[HARGA/ CTN]]*NOTA[[#This Row],[C]])</f>
        <v/>
      </c>
      <c r="X588" s="58" t="str">
        <f>IF(NOTA[[#This Row],[JUMLAH]]="","",NOTA[[#This Row],[JUMLAH]]*NOTA[[#This Row],[DISC 1]])</f>
        <v/>
      </c>
      <c r="Y588" s="58" t="str">
        <f>IF(NOTA[[#This Row],[JUMLAH]]="","",(NOTA[[#This Row],[JUMLAH]]-NOTA[[#This Row],[DISC 1-]])*NOTA[[#This Row],[DISC 2]])</f>
        <v/>
      </c>
      <c r="Z588" s="58" t="str">
        <f>IF(NOTA[[#This Row],[JUMLAH]]="","",NOTA[[#This Row],[DISC 1-]]+NOTA[[#This Row],[DISC 2-]])</f>
        <v/>
      </c>
      <c r="AA588" s="58" t="str">
        <f>IF(NOTA[[#This Row],[JUMLAH]]="","",NOTA[[#This Row],[JUMLAH]]-NOTA[[#This Row],[DISC]])</f>
        <v/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58" t="str">
        <f>IF(OR(NOTA[[#This Row],[QTY]]="",NOTA[[#This Row],[HARGA SATUAN]]="",),"",NOTA[[#This Row],[QTY]]*NOTA[[#This Row],[HARGA SATUAN]])</f>
        <v/>
      </c>
      <c r="AF588" s="56" t="str">
        <f ca="1">IF(NOTA[ID_H]="","",INDEX(NOTA[TANGGAL],MATCH(,INDIRECT(ADDRESS(ROW(NOTA[TANGGAL]),COLUMN(NOTA[TANGGAL]))&amp;":"&amp;ADDRESS(ROW(),COLUMN(NOTA[TANGGAL]))),-1)))</f>
        <v/>
      </c>
      <c r="AG588" s="52" t="str">
        <f ca="1">IF(NOTA[[#This Row],[NAMA BARANG]]="","",INDEX(NOTA[SUPPLIER],MATCH(,INDIRECT(ADDRESS(ROW(NOTA[ID]),COLUMN(NOTA[ID]))&amp;":"&amp;ADDRESS(ROW(),COLUMN(NOTA[ID]))),-1)))</f>
        <v/>
      </c>
      <c r="AH588" s="16" t="str">
        <f ca="1">IF(NOTA[[#This Row],[ID]]="","",COUNTIF(NOTA[ID_H],NOTA[[#This Row],[ID_H]]))</f>
        <v/>
      </c>
      <c r="AI588" s="16" t="str">
        <f ca="1">IF(NOTA[[#This Row],[TGL.NOTA]]="",IF(NOTA[[#This Row],[SUPPLIER_H]]="","",AI587),MONTH(NOTA[[#This Row],[TGL.NOTA]]))</f>
        <v/>
      </c>
      <c r="AJ588" s="16"/>
    </row>
    <row r="589" spans="1:36" ht="20.100000000000001" customHeight="1" x14ac:dyDescent="0.25">
      <c r="A589" s="52">
        <f ca="1">IF(INDIRECT(ADDRESS(ROW()-1,COLUMN(NOTA[[#Headers],[ID]])))="ID",1,IF(NOTA[[#This Row],[FAKTUR]]="","",COUNT(INDIRECT(ADDRESS(ROW(NOTA[ID]),COLUMN(NOTA[ID]))&amp;":"&amp;ADDRESS(ROW()-1,COLUMN(NOTA[ID]))))+1))</f>
        <v>132</v>
      </c>
      <c r="B58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589" s="53" t="e">
        <f ca="1">IF(NOTA[[#This Row],[ID_P]]="","",MATCH(NOTA[[#This Row],[ID_P]],[1]!B_MSK[N_ID],0))</f>
        <v>#REF!</v>
      </c>
      <c r="D589" s="53">
        <f ca="1">IF(NOTA[[#This Row],[NAMA BARANG]]="","",INDEX(NOTA[ID],MATCH(,INDIRECT(ADDRESS(ROW(NOTA[ID]),COLUMN(NOTA[ID]))&amp;":"&amp;ADDRESS(ROW(),COLUMN(NOTA[ID]))),-1)))</f>
        <v>132</v>
      </c>
      <c r="E589" s="60"/>
      <c r="F589" s="31" t="s">
        <v>89</v>
      </c>
      <c r="G589" s="31" t="s">
        <v>87</v>
      </c>
      <c r="H589" s="33" t="s">
        <v>766</v>
      </c>
      <c r="I589" s="54"/>
      <c r="J589" s="56">
        <v>44865</v>
      </c>
      <c r="K589" s="54"/>
      <c r="L589" s="31" t="s">
        <v>768</v>
      </c>
      <c r="M589" s="57">
        <v>10</v>
      </c>
      <c r="N589" s="54">
        <v>1440</v>
      </c>
      <c r="O589" s="31" t="s">
        <v>90</v>
      </c>
      <c r="P589" s="52">
        <v>22500</v>
      </c>
      <c r="Q589" s="164"/>
      <c r="R589" s="35" t="s">
        <v>396</v>
      </c>
      <c r="S589" s="59"/>
      <c r="T589" s="59"/>
      <c r="U589" s="58"/>
      <c r="V589" s="87"/>
      <c r="W589" s="58">
        <f>IF(NOTA[[#This Row],[HARGA/ CTN]]="",NOTA[[#This Row],[JUMLAH_H]],NOTA[[#This Row],[HARGA/ CTN]]*NOTA[[#This Row],[C]])</f>
        <v>32400000</v>
      </c>
      <c r="X589" s="58">
        <f>IF(NOTA[[#This Row],[JUMLAH]]="","",NOTA[[#This Row],[JUMLAH]]*NOTA[[#This Row],[DISC 1]])</f>
        <v>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0</v>
      </c>
      <c r="AA589" s="58">
        <f>IF(NOTA[[#This Row],[JUMLAH]]="","",NOTA[[#This Row],[JUMLAH]]-NOTA[[#This Row],[DISC]])</f>
        <v>32400000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89" s="58">
        <f>IF(OR(NOTA[[#This Row],[QTY]]="",NOTA[[#This Row],[HARGA SATUAN]]="",),"",NOTA[[#This Row],[QTY]]*NOTA[[#This Row],[HARGA SATUAN]])</f>
        <v>32400000</v>
      </c>
      <c r="AF589" s="56">
        <f ca="1">IF(NOTA[ID_H]="","",INDEX(NOTA[TANGGAL],MATCH(,INDIRECT(ADDRESS(ROW(NOTA[TANGGAL]),COLUMN(NOTA[TANGGAL]))&amp;":"&amp;ADDRESS(ROW(),COLUMN(NOTA[TANGGAL]))),-1)))</f>
        <v>44867</v>
      </c>
      <c r="AG589" s="52" t="str">
        <f ca="1">IF(NOTA[[#This Row],[NAMA BARANG]]="","",INDEX(NOTA[SUPPLIER],MATCH(,INDIRECT(ADDRESS(ROW(NOTA[ID]),COLUMN(NOTA[ID]))&amp;":"&amp;ADDRESS(ROW(),COLUMN(NOTA[ID]))),-1)))</f>
        <v>DB STATIONERY</v>
      </c>
      <c r="AH589" s="16">
        <f ca="1">IF(NOTA[[#This Row],[ID]]="","",COUNTIF(NOTA[ID_H],NOTA[[#This Row],[ID_H]]))</f>
        <v>6</v>
      </c>
      <c r="AI589" s="16">
        <f>IF(NOTA[[#This Row],[TGL.NOTA]]="",IF(NOTA[[#This Row],[SUPPLIER_H]]="","",#REF!),MONTH(NOTA[[#This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132</v>
      </c>
      <c r="E590" s="60"/>
      <c r="F590" s="31"/>
      <c r="G590" s="31"/>
      <c r="H590" s="33"/>
      <c r="I590" s="54"/>
      <c r="J590" s="56"/>
      <c r="K590" s="54"/>
      <c r="L590" s="31" t="s">
        <v>767</v>
      </c>
      <c r="M590" s="57">
        <v>3</v>
      </c>
      <c r="N590" s="54">
        <v>432</v>
      </c>
      <c r="O590" s="31" t="s">
        <v>90</v>
      </c>
      <c r="P590" s="52">
        <v>21000</v>
      </c>
      <c r="Q590" s="164"/>
      <c r="R590" s="35" t="s">
        <v>396</v>
      </c>
      <c r="S590" s="59"/>
      <c r="T590" s="59"/>
      <c r="U590" s="58"/>
      <c r="V590" s="87"/>
      <c r="W590" s="58">
        <f>IF(NOTA[[#This Row],[HARGA/ CTN]]="",NOTA[[#This Row],[JUMLAH_H]],NOTA[[#This Row],[HARGA/ CTN]]*NOTA[[#This Row],[C]])</f>
        <v>9072000</v>
      </c>
      <c r="X590" s="58">
        <f>IF(NOTA[[#This Row],[JUMLAH]]="","",NOTA[[#This Row],[JUMLAH]]*NOTA[[#This Row],[DISC 1]])</f>
        <v>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0</v>
      </c>
      <c r="AA590" s="58">
        <f>IF(NOTA[[#This Row],[JUMLAH]]="","",NOTA[[#This Row],[JUMLAH]]-NOTA[[#This Row],[DISC]])</f>
        <v>9072000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90" s="58">
        <f>IF(OR(NOTA[[#This Row],[QTY]]="",NOTA[[#This Row],[HARGA SATUAN]]="",),"",NOTA[[#This Row],[QTY]]*NOTA[[#This Row],[HARGA SATUAN]])</f>
        <v>9072000</v>
      </c>
      <c r="AF590" s="56">
        <f ca="1">IF(NOTA[ID_H]="","",INDEX(NOTA[TANGGAL],MATCH(,INDIRECT(ADDRESS(ROW(NOTA[TANGGAL]),COLUMN(NOTA[TANGGAL]))&amp;":"&amp;ADDRESS(ROW(),COLUMN(NOTA[TANGGAL]))),-1)))</f>
        <v>44867</v>
      </c>
      <c r="AG590" s="52" t="str">
        <f ca="1">IF(NOTA[[#This Row],[NAMA BARANG]]="","",INDEX(NOTA[SUPPLIER],MATCH(,INDIRECT(ADDRESS(ROW(NOTA[ID]),COLUMN(NOTA[ID]))&amp;":"&amp;ADDRESS(ROW(),COLUMN(NOTA[ID]))),-1)))</f>
        <v>DB STATIONERY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132</v>
      </c>
      <c r="E591" s="32"/>
      <c r="F591" s="31"/>
      <c r="G591" s="31"/>
      <c r="H591" s="33"/>
      <c r="I591" s="54"/>
      <c r="J591" s="56"/>
      <c r="K591" s="54"/>
      <c r="L591" s="31" t="s">
        <v>770</v>
      </c>
      <c r="M591" s="57">
        <v>3</v>
      </c>
      <c r="N591" s="54">
        <v>360</v>
      </c>
      <c r="O591" s="31" t="s">
        <v>88</v>
      </c>
      <c r="P591" s="52">
        <v>13750</v>
      </c>
      <c r="Q591" s="164"/>
      <c r="R591" s="35" t="s">
        <v>769</v>
      </c>
      <c r="S591" s="59"/>
      <c r="T591" s="59"/>
      <c r="U591" s="58"/>
      <c r="V591" s="87"/>
      <c r="W591" s="58">
        <f>IF(NOTA[[#This Row],[HARGA/ CTN]]="",NOTA[[#This Row],[JUMLAH_H]],NOTA[[#This Row],[HARGA/ CTN]]*NOTA[[#This Row],[C]])</f>
        <v>4950000</v>
      </c>
      <c r="X591" s="58">
        <f>IF(NOTA[[#This Row],[JUMLAH]]="","",NOTA[[#This Row],[JUMLAH]]*NOTA[[#This Row],[DISC 1]])</f>
        <v>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0</v>
      </c>
      <c r="AA591" s="58">
        <f>IF(NOTA[[#This Row],[JUMLAH]]="","",NOTA[[#This Row],[JUMLAH]]-NOTA[[#This Row],[DISC]])</f>
        <v>4950000</v>
      </c>
      <c r="AB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91" s="58">
        <f>IF(OR(NOTA[[#This Row],[QTY]]="",NOTA[[#This Row],[HARGA SATUAN]]="",),"",NOTA[[#This Row],[QTY]]*NOTA[[#This Row],[HARGA SATUAN]])</f>
        <v>4950000</v>
      </c>
      <c r="AF591" s="56">
        <f ca="1">IF(NOTA[ID_H]="","",INDEX(NOTA[TANGGAL],MATCH(,INDIRECT(ADDRESS(ROW(NOTA[TANGGAL]),COLUMN(NOTA[TANGGAL]))&amp;":"&amp;ADDRESS(ROW(),COLUMN(NOTA[TANGGAL]))),-1)))</f>
        <v>44867</v>
      </c>
      <c r="AG591" s="52" t="str">
        <f ca="1">IF(NOTA[[#This Row],[NAMA BARANG]]="","",INDEX(NOTA[SUPPLIER],MATCH(,INDIRECT(ADDRESS(ROW(NOTA[ID]),COLUMN(NOTA[ID]))&amp;":"&amp;ADDRESS(ROW(),COLUMN(NOTA[ID]))),-1)))</f>
        <v>DB STATIONERY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>
        <f ca="1">IF(NOTA[[#This Row],[NAMA BARANG]]="","",INDEX(NOTA[ID],MATCH(,INDIRECT(ADDRESS(ROW(NOTA[ID]),COLUMN(NOTA[ID]))&amp;":"&amp;ADDRESS(ROW(),COLUMN(NOTA[ID]))),-1)))</f>
        <v>132</v>
      </c>
      <c r="E592" s="60"/>
      <c r="F592" s="54"/>
      <c r="G592" s="54"/>
      <c r="H592" s="55"/>
      <c r="I592" s="54"/>
      <c r="J592" s="56"/>
      <c r="K592" s="54"/>
      <c r="L592" s="31" t="s">
        <v>771</v>
      </c>
      <c r="M592" s="57">
        <v>1</v>
      </c>
      <c r="N592" s="54">
        <v>96</v>
      </c>
      <c r="O592" s="31" t="s">
        <v>90</v>
      </c>
      <c r="P592" s="52">
        <v>29000</v>
      </c>
      <c r="Q592" s="164"/>
      <c r="R592" s="35" t="s">
        <v>622</v>
      </c>
      <c r="S592" s="59"/>
      <c r="T592" s="59"/>
      <c r="U592" s="58"/>
      <c r="V592" s="87"/>
      <c r="W592" s="58">
        <f>IF(NOTA[[#This Row],[HARGA/ CTN]]="",NOTA[[#This Row],[JUMLAH_H]],NOTA[[#This Row],[HARGA/ CTN]]*NOTA[[#This Row],[C]])</f>
        <v>2784000</v>
      </c>
      <c r="X592" s="58">
        <f>IF(NOTA[[#This Row],[JUMLAH]]="","",NOTA[[#This Row],[JUMLAH]]*NOTA[[#This Row],[DISC 1]])</f>
        <v>0</v>
      </c>
      <c r="Y592" s="58">
        <f>IF(NOTA[[#This Row],[JUMLAH]]="","",(NOTA[[#This Row],[JUMLAH]]-NOTA[[#This Row],[DISC 1-]])*NOTA[[#This Row],[DISC 2]])</f>
        <v>0</v>
      </c>
      <c r="Z592" s="58">
        <f>IF(NOTA[[#This Row],[JUMLAH]]="","",NOTA[[#This Row],[DISC 1-]]+NOTA[[#This Row],[DISC 2-]])</f>
        <v>0</v>
      </c>
      <c r="AA592" s="58">
        <f>IF(NOTA[[#This Row],[JUMLAH]]="","",NOTA[[#This Row],[JUMLAH]]-NOTA[[#This Row],[DISC]])</f>
        <v>2784000</v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2" s="58">
        <f>IF(OR(NOTA[[#This Row],[QTY]]="",NOTA[[#This Row],[HARGA SATUAN]]="",),"",NOTA[[#This Row],[QTY]]*NOTA[[#This Row],[HARGA SATUAN]])</f>
        <v>2784000</v>
      </c>
      <c r="AF592" s="56">
        <f ca="1">IF(NOTA[ID_H]="","",INDEX(NOTA[TANGGAL],MATCH(,INDIRECT(ADDRESS(ROW(NOTA[TANGGAL]),COLUMN(NOTA[TANGGAL]))&amp;":"&amp;ADDRESS(ROW(),COLUMN(NOTA[TANGGAL]))),-1)))</f>
        <v>44867</v>
      </c>
      <c r="AG592" s="52" t="str">
        <f ca="1">IF(NOTA[[#This Row],[NAMA BARANG]]="","",INDEX(NOTA[SUPPLIER],MATCH(,INDIRECT(ADDRESS(ROW(NOTA[ID]),COLUMN(NOTA[ID]))&amp;":"&amp;ADDRESS(ROW(),COLUMN(NOTA[ID]))),-1)))</f>
        <v>DB STATIONERY</v>
      </c>
      <c r="AH592" s="16" t="str">
        <f ca="1">IF(NOTA[[#This Row],[ID]]="","",COUNTIF(NOTA[ID_H],NOTA[[#This Row],[ID_H]]))</f>
        <v/>
      </c>
      <c r="AI592" s="16">
        <f ca="1">IF(NOTA[[#This Row],[TGL.NOTA]]="",IF(NOTA[[#This Row],[SUPPLIER_H]]="","",AI591),MONTH(NOTA[[#This Row],[TGL.NOTA]]))</f>
        <v>10</v>
      </c>
      <c r="AJ592" s="16"/>
    </row>
    <row r="593" spans="1:36" ht="20.100000000000001" customHeight="1" x14ac:dyDescent="0.25">
      <c r="A5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3" t="str">
        <f>IF(NOTA[[#This Row],[ID_P]]="","",MATCH(NOTA[[#This Row],[ID_P]],[1]!B_MSK[N_ID],0))</f>
        <v/>
      </c>
      <c r="D593" s="53">
        <f ca="1">IF(NOTA[[#This Row],[NAMA BARANG]]="","",INDEX(NOTA[ID],MATCH(,INDIRECT(ADDRESS(ROW(NOTA[ID]),COLUMN(NOTA[ID]))&amp;":"&amp;ADDRESS(ROW(),COLUMN(NOTA[ID]))),-1)))</f>
        <v>132</v>
      </c>
      <c r="E593" s="60"/>
      <c r="F593" s="54"/>
      <c r="G593" s="54"/>
      <c r="H593" s="55"/>
      <c r="I593" s="54"/>
      <c r="J593" s="56"/>
      <c r="K593" s="54"/>
      <c r="L593" s="31" t="s">
        <v>772</v>
      </c>
      <c r="M593" s="57">
        <v>1</v>
      </c>
      <c r="N593" s="54">
        <v>96</v>
      </c>
      <c r="O593" s="31" t="s">
        <v>90</v>
      </c>
      <c r="P593" s="52">
        <v>29000</v>
      </c>
      <c r="Q593" s="164"/>
      <c r="R593" s="35" t="s">
        <v>622</v>
      </c>
      <c r="S593" s="59"/>
      <c r="T593" s="59"/>
      <c r="U593" s="58"/>
      <c r="V593" s="87"/>
      <c r="W593" s="58">
        <f>IF(NOTA[[#This Row],[HARGA/ CTN]]="",NOTA[[#This Row],[JUMLAH_H]],NOTA[[#This Row],[HARGA/ CTN]]*NOTA[[#This Row],[C]])</f>
        <v>2784000</v>
      </c>
      <c r="X593" s="58">
        <f>IF(NOTA[[#This Row],[JUMLAH]]="","",NOTA[[#This Row],[JUMLAH]]*NOTA[[#This Row],[DISC 1]])</f>
        <v>0</v>
      </c>
      <c r="Y593" s="58">
        <f>IF(NOTA[[#This Row],[JUMLAH]]="","",(NOTA[[#This Row],[JUMLAH]]-NOTA[[#This Row],[DISC 1-]])*NOTA[[#This Row],[DISC 2]])</f>
        <v>0</v>
      </c>
      <c r="Z593" s="58">
        <f>IF(NOTA[[#This Row],[JUMLAH]]="","",NOTA[[#This Row],[DISC 1-]]+NOTA[[#This Row],[DISC 2-]])</f>
        <v>0</v>
      </c>
      <c r="AA593" s="58">
        <f>IF(NOTA[[#This Row],[JUMLAH]]="","",NOTA[[#This Row],[JUMLAH]]-NOTA[[#This Row],[DISC]])</f>
        <v>2784000</v>
      </c>
      <c r="AB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3" s="58">
        <f>IF(OR(NOTA[[#This Row],[QTY]]="",NOTA[[#This Row],[HARGA SATUAN]]="",),"",NOTA[[#This Row],[QTY]]*NOTA[[#This Row],[HARGA SATUAN]])</f>
        <v>2784000</v>
      </c>
      <c r="AF593" s="56">
        <f ca="1">IF(NOTA[ID_H]="","",INDEX(NOTA[TANGGAL],MATCH(,INDIRECT(ADDRESS(ROW(NOTA[TANGGAL]),COLUMN(NOTA[TANGGAL]))&amp;":"&amp;ADDRESS(ROW(),COLUMN(NOTA[TANGGAL]))),-1)))</f>
        <v>44867</v>
      </c>
      <c r="AG593" s="52" t="str">
        <f ca="1">IF(NOTA[[#This Row],[NAMA BARANG]]="","",INDEX(NOTA[SUPPLIER],MATCH(,INDIRECT(ADDRESS(ROW(NOTA[ID]),COLUMN(NOTA[ID]))&amp;":"&amp;ADDRESS(ROW(),COLUMN(NOTA[ID]))),-1)))</f>
        <v>DB STATIONERY</v>
      </c>
      <c r="AH593" s="16" t="str">
        <f ca="1">IF(NOTA[[#This Row],[ID]]="","",COUNTIF(NOTA[ID_H],NOTA[[#This Row],[ID_H]]))</f>
        <v/>
      </c>
      <c r="AI593" s="16">
        <f ca="1">IF(NOTA[[#This Row],[TGL.NOTA]]="",IF(NOTA[[#This Row],[SUPPLIER_H]]="","",AI592),MONTH(NOTA[[#This Row],[TGL.NOTA]]))</f>
        <v>10</v>
      </c>
      <c r="AJ593" s="16"/>
    </row>
    <row r="594" spans="1:36" ht="20.100000000000001" customHeight="1" x14ac:dyDescent="0.25">
      <c r="A5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3" t="str">
        <f>IF(NOTA[[#This Row],[ID_P]]="","",MATCH(NOTA[[#This Row],[ID_P]],[1]!B_MSK[N_ID],0))</f>
        <v/>
      </c>
      <c r="D594" s="53">
        <f ca="1">IF(NOTA[[#This Row],[NAMA BARANG]]="","",INDEX(NOTA[ID],MATCH(,INDIRECT(ADDRESS(ROW(NOTA[ID]),COLUMN(NOTA[ID]))&amp;":"&amp;ADDRESS(ROW(),COLUMN(NOTA[ID]))),-1)))</f>
        <v>132</v>
      </c>
      <c r="E594" s="60"/>
      <c r="F594" s="54"/>
      <c r="G594" s="54"/>
      <c r="H594" s="55"/>
      <c r="I594" s="54"/>
      <c r="J594" s="56"/>
      <c r="K594" s="54"/>
      <c r="L594" s="31" t="s">
        <v>773</v>
      </c>
      <c r="M594" s="57">
        <v>1</v>
      </c>
      <c r="N594" s="54">
        <v>96</v>
      </c>
      <c r="O594" s="31" t="s">
        <v>90</v>
      </c>
      <c r="P594" s="52">
        <v>29000</v>
      </c>
      <c r="Q594" s="164"/>
      <c r="R594" s="35" t="s">
        <v>622</v>
      </c>
      <c r="S594" s="59"/>
      <c r="T594" s="59"/>
      <c r="U594" s="58"/>
      <c r="V594" s="87"/>
      <c r="W594" s="58">
        <f>IF(NOTA[[#This Row],[HARGA/ CTN]]="",NOTA[[#This Row],[JUMLAH_H]],NOTA[[#This Row],[HARGA/ CTN]]*NOTA[[#This Row],[C]])</f>
        <v>2784000</v>
      </c>
      <c r="X594" s="58">
        <f>IF(NOTA[[#This Row],[JUMLAH]]="","",NOTA[[#This Row],[JUMLAH]]*NOTA[[#This Row],[DISC 1]])</f>
        <v>0</v>
      </c>
      <c r="Y594" s="58">
        <f>IF(NOTA[[#This Row],[JUMLAH]]="","",(NOTA[[#This Row],[JUMLAH]]-NOTA[[#This Row],[DISC 1-]])*NOTA[[#This Row],[DISC 2]])</f>
        <v>0</v>
      </c>
      <c r="Z594" s="58">
        <f>IF(NOTA[[#This Row],[JUMLAH]]="","",NOTA[[#This Row],[DISC 1-]]+NOTA[[#This Row],[DISC 2-]])</f>
        <v>0</v>
      </c>
      <c r="AA594" s="58">
        <f>IF(NOTA[[#This Row],[JUMLAH]]="","",NOTA[[#This Row],[JUMLAH]]-NOTA[[#This Row],[DISC]])</f>
        <v>2784000</v>
      </c>
      <c r="AB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594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94" s="58">
        <f>IF(OR(NOTA[[#This Row],[QTY]]="",NOTA[[#This Row],[HARGA SATUAN]]="",),"",NOTA[[#This Row],[QTY]]*NOTA[[#This Row],[HARGA SATUAN]])</f>
        <v>2784000</v>
      </c>
      <c r="AF594" s="56">
        <f ca="1">IF(NOTA[ID_H]="","",INDEX(NOTA[TANGGAL],MATCH(,INDIRECT(ADDRESS(ROW(NOTA[TANGGAL]),COLUMN(NOTA[TANGGAL]))&amp;":"&amp;ADDRESS(ROW(),COLUMN(NOTA[TANGGAL]))),-1)))</f>
        <v>44867</v>
      </c>
      <c r="AG594" s="52" t="str">
        <f ca="1">IF(NOTA[[#This Row],[NAMA BARANG]]="","",INDEX(NOTA[SUPPLIER],MATCH(,INDIRECT(ADDRESS(ROW(NOTA[ID]),COLUMN(NOTA[ID]))&amp;":"&amp;ADDRESS(ROW(),COLUMN(NOTA[ID]))),-1)))</f>
        <v>DB STATIONERY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3" t="str">
        <f>IF(NOTA[[#This Row],[ID_P]]="","",MATCH(NOTA[[#This Row],[ID_P]],[1]!B_MSK[N_ID],0))</f>
        <v/>
      </c>
      <c r="D595" s="53" t="str">
        <f ca="1">IF(NOTA[[#This Row],[NAMA BARANG]]="","",INDEX(NOTA[ID],MATCH(,INDIRECT(ADDRESS(ROW(NOTA[ID]),COLUMN(NOTA[ID]))&amp;":"&amp;ADDRESS(ROW(),COLUMN(NOTA[ID]))),-1)))</f>
        <v/>
      </c>
      <c r="E595" s="60"/>
      <c r="F595" s="54"/>
      <c r="G595" s="54"/>
      <c r="H595" s="55"/>
      <c r="I595" s="54"/>
      <c r="J595" s="56"/>
      <c r="K595" s="54"/>
      <c r="L595" s="31"/>
      <c r="M595" s="57"/>
      <c r="N595" s="54"/>
      <c r="O595" s="31"/>
      <c r="P595" s="52"/>
      <c r="Q595" s="164"/>
      <c r="R595" s="35"/>
      <c r="S595" s="59"/>
      <c r="T595" s="59"/>
      <c r="U595" s="58"/>
      <c r="V595" s="87"/>
      <c r="W595" s="58" t="str">
        <f>IF(NOTA[[#This Row],[HARGA/ CTN]]="",NOTA[[#This Row],[JUMLAH_H]],NOTA[[#This Row],[HARGA/ CTN]]*NOTA[[#This Row],[C]])</f>
        <v/>
      </c>
      <c r="X595" s="58" t="str">
        <f>IF(NOTA[[#This Row],[JUMLAH]]="","",NOTA[[#This Row],[JUMLAH]]*NOTA[[#This Row],[DISC 1]])</f>
        <v/>
      </c>
      <c r="Y595" s="58" t="str">
        <f>IF(NOTA[[#This Row],[JUMLAH]]="","",(NOTA[[#This Row],[JUMLAH]]-NOTA[[#This Row],[DISC 1-]])*NOTA[[#This Row],[DISC 2]])</f>
        <v/>
      </c>
      <c r="Z595" s="58" t="str">
        <f>IF(NOTA[[#This Row],[JUMLAH]]="","",NOTA[[#This Row],[DISC 1-]]+NOTA[[#This Row],[DISC 2-]])</f>
        <v/>
      </c>
      <c r="AA595" s="58" t="str">
        <f>IF(NOTA[[#This Row],[JUMLAH]]="","",NOTA[[#This Row],[JUMLAH]]-NOTA[[#This Row],[DISC]])</f>
        <v/>
      </c>
      <c r="AB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58" t="str">
        <f>IF(OR(NOTA[[#This Row],[QTY]]="",NOTA[[#This Row],[HARGA SATUAN]]="",),"",NOTA[[#This Row],[QTY]]*NOTA[[#This Row],[HARGA SATUAN]])</f>
        <v/>
      </c>
      <c r="AF595" s="56" t="str">
        <f ca="1">IF(NOTA[ID_H]="","",INDEX(NOTA[TANGGAL],MATCH(,INDIRECT(ADDRESS(ROW(NOTA[TANGGAL]),COLUMN(NOTA[TANGGAL]))&amp;":"&amp;ADDRESS(ROW(),COLUMN(NOTA[TANGGAL]))),-1)))</f>
        <v/>
      </c>
      <c r="AG595" s="52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 t="str">
        <f ca="1">IF(NOTA[[#This Row],[TGL.NOTA]]="",IF(NOTA[[#This Row],[SUPPLIER_H]]="","",AI594),MONTH(NOTA[[#This Row],[TGL.NOTA]]))</f>
        <v/>
      </c>
      <c r="AJ595" s="16"/>
    </row>
    <row r="596" spans="1:36" ht="20.100000000000001" customHeight="1" x14ac:dyDescent="0.25">
      <c r="A596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59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596" s="53" t="e">
        <f ca="1">IF(NOTA[[#This Row],[ID_P]]="","",MATCH(NOTA[[#This Row],[ID_P]],[1]!B_MSK[N_ID],0))</f>
        <v>#REF!</v>
      </c>
      <c r="D596" s="53">
        <f ca="1">IF(NOTA[[#This Row],[NAMA BARANG]]="","",INDEX(NOTA[ID],MATCH(,INDIRECT(ADDRESS(ROW(NOTA[ID]),COLUMN(NOTA[ID]))&amp;":"&amp;ADDRESS(ROW(),COLUMN(NOTA[ID]))),-1)))</f>
        <v>133</v>
      </c>
      <c r="E596" s="60"/>
      <c r="F596" s="31" t="s">
        <v>774</v>
      </c>
      <c r="G596" s="31" t="s">
        <v>87</v>
      </c>
      <c r="H596" s="33" t="s">
        <v>775</v>
      </c>
      <c r="I596" s="54"/>
      <c r="J596" s="56">
        <v>44866</v>
      </c>
      <c r="K596" s="54"/>
      <c r="L596" s="31" t="s">
        <v>776</v>
      </c>
      <c r="M596" s="57">
        <v>5</v>
      </c>
      <c r="N596" s="54">
        <v>1920</v>
      </c>
      <c r="O596" s="31" t="s">
        <v>88</v>
      </c>
      <c r="P596" s="52">
        <v>4750</v>
      </c>
      <c r="Q596" s="103"/>
      <c r="R596" s="35" t="s">
        <v>777</v>
      </c>
      <c r="S596" s="59"/>
      <c r="T596" s="59"/>
      <c r="U596" s="58"/>
      <c r="V596" s="87"/>
      <c r="W596" s="58">
        <f>IF(NOTA[[#This Row],[HARGA/ CTN]]="",NOTA[[#This Row],[JUMLAH_H]],NOTA[[#This Row],[HARGA/ CTN]]*NOTA[[#This Row],[C]])</f>
        <v>9120000</v>
      </c>
      <c r="X596" s="58">
        <f>IF(NOTA[[#This Row],[JUMLAH]]="","",NOTA[[#This Row],[JUMLAH]]*NOTA[[#This Row],[DISC 1]])</f>
        <v>0</v>
      </c>
      <c r="Y596" s="58">
        <f>IF(NOTA[[#This Row],[JUMLAH]]="","",(NOTA[[#This Row],[JUMLAH]]-NOTA[[#This Row],[DISC 1-]])*NOTA[[#This Row],[DISC 2]])</f>
        <v>0</v>
      </c>
      <c r="Z596" s="58">
        <f>IF(NOTA[[#This Row],[JUMLAH]]="","",NOTA[[#This Row],[DISC 1-]]+NOTA[[#This Row],[DISC 2-]])</f>
        <v>0</v>
      </c>
      <c r="AA596" s="58">
        <f>IF(NOTA[[#This Row],[JUMLAH]]="","",NOTA[[#This Row],[JUMLAH]]-NOTA[[#This Row],[DISC]])</f>
        <v>9120000</v>
      </c>
      <c r="AB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596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96" s="58">
        <f>IF(OR(NOTA[[#This Row],[QTY]]="",NOTA[[#This Row],[HARGA SATUAN]]="",),"",NOTA[[#This Row],[QTY]]*NOTA[[#This Row],[HARGA SATUAN]])</f>
        <v>9120000</v>
      </c>
      <c r="AF596" s="56">
        <f ca="1">IF(NOTA[ID_H]="","",INDEX(NOTA[TANGGAL],MATCH(,INDIRECT(ADDRESS(ROW(NOTA[TANGGAL]),COLUMN(NOTA[TANGGAL]))&amp;":"&amp;ADDRESS(ROW(),COLUMN(NOTA[TANGGAL]))),-1)))</f>
        <v>44867</v>
      </c>
      <c r="AG596" s="52" t="str">
        <f ca="1">IF(NOTA[[#This Row],[NAMA BARANG]]="","",INDEX(NOTA[SUPPLIER],MATCH(,INDIRECT(ADDRESS(ROW(NOTA[ID]),COLUMN(NOTA[ID]))&amp;":"&amp;ADDRESS(ROW(),COLUMN(NOTA[ID]))),-1)))</f>
        <v>TENAGA BARU</v>
      </c>
      <c r="AH596" s="16">
        <f ca="1">IF(NOTA[[#This Row],[ID]]="","",COUNTIF(NOTA[ID_H],NOTA[[#This Row],[ID_H]]))</f>
        <v>1</v>
      </c>
      <c r="AI596" s="16">
        <f>IF(NOTA[[#This Row],[TGL.NOTA]]="",IF(NOTA[[#This Row],[SUPPLIER_H]]="","",AI595),MONTH(NOTA[[#This Row],[TGL.NOTA]]))</f>
        <v>11</v>
      </c>
      <c r="AJ596" s="16"/>
    </row>
    <row r="597" spans="1:36" ht="20.100000000000001" customHeight="1" x14ac:dyDescent="0.25">
      <c r="A5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3" t="str">
        <f>IF(NOTA[[#This Row],[ID_P]]="","",MATCH(NOTA[[#This Row],[ID_P]],[1]!B_MSK[N_ID],0))</f>
        <v/>
      </c>
      <c r="D597" s="53" t="str">
        <f ca="1">IF(NOTA[[#This Row],[NAMA BARANG]]="","",INDEX(NOTA[ID],MATCH(,INDIRECT(ADDRESS(ROW(NOTA[ID]),COLUMN(NOTA[ID]))&amp;":"&amp;ADDRESS(ROW(),COLUMN(NOTA[ID]))),-1)))</f>
        <v/>
      </c>
      <c r="E597" s="60"/>
      <c r="F597" s="31"/>
      <c r="G597" s="31"/>
      <c r="H597" s="33"/>
      <c r="I597" s="31"/>
      <c r="J597" s="56"/>
      <c r="K597" s="31"/>
      <c r="L597" s="31"/>
      <c r="M597" s="57"/>
      <c r="N597" s="54"/>
      <c r="O597" s="31"/>
      <c r="P597" s="52"/>
      <c r="Q597" s="164"/>
      <c r="R597" s="35"/>
      <c r="S597" s="59"/>
      <c r="T597" s="59"/>
      <c r="U597" s="58"/>
      <c r="V597" s="87"/>
      <c r="W597" s="58" t="str">
        <f>IF(NOTA[[#This Row],[HARGA/ CTN]]="",NOTA[[#This Row],[JUMLAH_H]],NOTA[[#This Row],[HARGA/ CTN]]*NOTA[[#This Row],[C]])</f>
        <v/>
      </c>
      <c r="X597" s="58" t="str">
        <f>IF(NOTA[[#This Row],[JUMLAH]]="","",NOTA[[#This Row],[JUMLAH]]*NOTA[[#This Row],[DISC 1]])</f>
        <v/>
      </c>
      <c r="Y597" s="58" t="str">
        <f>IF(NOTA[[#This Row],[JUMLAH]]="","",(NOTA[[#This Row],[JUMLAH]]-NOTA[[#This Row],[DISC 1-]])*NOTA[[#This Row],[DISC 2]])</f>
        <v/>
      </c>
      <c r="Z597" s="58" t="str">
        <f>IF(NOTA[[#This Row],[JUMLAH]]="","",NOTA[[#This Row],[DISC 1-]]+NOTA[[#This Row],[DISC 2-]])</f>
        <v/>
      </c>
      <c r="AA597" s="58" t="str">
        <f>IF(NOTA[[#This Row],[JUMLAH]]="","",NOTA[[#This Row],[JUMLAH]]-NOTA[[#This Row],[DISC]])</f>
        <v/>
      </c>
      <c r="AB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8" t="str">
        <f>IF(OR(NOTA[[#This Row],[QTY]]="",NOTA[[#This Row],[HARGA SATUAN]]="",),"",NOTA[[#This Row],[QTY]]*NOTA[[#This Row],[HARGA SATUAN]])</f>
        <v/>
      </c>
      <c r="AF597" s="56" t="str">
        <f ca="1">IF(NOTA[ID_H]="","",INDEX(NOTA[TANGGAL],MATCH(,INDIRECT(ADDRESS(ROW(NOTA[TANGGAL]),COLUMN(NOTA[TANGGAL]))&amp;":"&amp;ADDRESS(ROW(),COLUMN(NOTA[TANGGAL]))),-1)))</f>
        <v/>
      </c>
      <c r="AG597" s="52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134</v>
      </c>
      <c r="E598" s="60">
        <v>44868</v>
      </c>
      <c r="F598" s="31" t="s">
        <v>234</v>
      </c>
      <c r="G598" s="31" t="s">
        <v>87</v>
      </c>
      <c r="H598" s="33" t="s">
        <v>778</v>
      </c>
      <c r="I598" s="54"/>
      <c r="J598" s="56">
        <v>44862</v>
      </c>
      <c r="K598" s="54"/>
      <c r="L598" s="31" t="s">
        <v>309</v>
      </c>
      <c r="M598" s="57">
        <v>5</v>
      </c>
      <c r="N598" s="54">
        <v>500</v>
      </c>
      <c r="O598" s="31" t="s">
        <v>210</v>
      </c>
      <c r="P598" s="52">
        <v>26780</v>
      </c>
      <c r="Q598" s="164"/>
      <c r="R598" s="35" t="s">
        <v>310</v>
      </c>
      <c r="S598" s="59">
        <v>0.2</v>
      </c>
      <c r="T598" s="59">
        <v>0.04</v>
      </c>
      <c r="U598" s="58"/>
      <c r="V598" s="87"/>
      <c r="W598" s="58">
        <f>IF(NOTA[[#This Row],[HARGA/ CTN]]="",NOTA[[#This Row],[JUMLAH_H]],NOTA[[#This Row],[HARGA/ CTN]]*NOTA[[#This Row],[C]])</f>
        <v>13390000</v>
      </c>
      <c r="X598" s="58">
        <f>IF(NOTA[[#This Row],[JUMLAH]]="","",NOTA[[#This Row],[JUMLAH]]*NOTA[[#This Row],[DISC 1]])</f>
        <v>2678000</v>
      </c>
      <c r="Y598" s="58">
        <f>IF(NOTA[[#This Row],[JUMLAH]]="","",(NOTA[[#This Row],[JUMLAH]]-NOTA[[#This Row],[DISC 1-]])*NOTA[[#This Row],[DISC 2]])</f>
        <v>428480</v>
      </c>
      <c r="Z598" s="58">
        <f>IF(NOTA[[#This Row],[JUMLAH]]="","",NOTA[[#This Row],[DISC 1-]]+NOTA[[#This Row],[DISC 2-]])</f>
        <v>3106480</v>
      </c>
      <c r="AA598" s="58">
        <f>IF(NOTA[[#This Row],[JUMLAH]]="","",NOTA[[#This Row],[JUMLAH]]-NOTA[[#This Row],[DISC]])</f>
        <v>10283520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8" s="58">
        <f>IF(OR(NOTA[[#This Row],[QTY]]="",NOTA[[#This Row],[HARGA SATUAN]]="",),"",NOTA[[#This Row],[QTY]]*NOTA[[#This Row],[HARGA SATUAN]])</f>
        <v>13390000</v>
      </c>
      <c r="AF598" s="56">
        <f ca="1">IF(NOTA[ID_H]="","",INDEX(NOTA[TANGGAL],MATCH(,INDIRECT(ADDRESS(ROW(NOTA[TANGGAL]),COLUMN(NOTA[TANGGAL]))&amp;":"&amp;ADDRESS(ROW(),COLUMN(NOTA[TANGGAL]))),-1)))</f>
        <v>44868</v>
      </c>
      <c r="AG598" s="52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Row],[SUPPLIER_H]]="","",#REF!),MONTH(NOTA[[#This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31"/>
      <c r="G599" s="31"/>
      <c r="H599" s="33"/>
      <c r="I599" s="54"/>
      <c r="J599" s="56"/>
      <c r="K599" s="54"/>
      <c r="L599" s="31"/>
      <c r="M599" s="57"/>
      <c r="N599" s="54"/>
      <c r="O599" s="31"/>
      <c r="P599" s="52"/>
      <c r="Q599" s="164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135</v>
      </c>
      <c r="E600" s="60"/>
      <c r="F600" s="31" t="s">
        <v>254</v>
      </c>
      <c r="G600" s="31" t="s">
        <v>87</v>
      </c>
      <c r="H600" s="33" t="s">
        <v>781</v>
      </c>
      <c r="I600" s="54"/>
      <c r="J600" s="56">
        <v>44862</v>
      </c>
      <c r="K600" s="54"/>
      <c r="L600" s="31" t="s">
        <v>258</v>
      </c>
      <c r="M600" s="57">
        <v>1</v>
      </c>
      <c r="N600" s="54">
        <v>50</v>
      </c>
      <c r="O600" s="31" t="s">
        <v>90</v>
      </c>
      <c r="P600" s="52"/>
      <c r="Q600" s="103"/>
      <c r="R600" s="35" t="s">
        <v>257</v>
      </c>
      <c r="S600" s="59"/>
      <c r="T600" s="59"/>
      <c r="U600" s="58"/>
      <c r="V600" s="87"/>
      <c r="W600" s="58" t="str">
        <f>IF(NOTA[[#This Row],[HARGA/ CTN]]="",NOTA[[#This Row],[JUMLAH_H]],NOTA[[#This Row],[HARGA/ CTN]]*NOTA[[#This Row],[C]])</f>
        <v/>
      </c>
      <c r="X600" s="58" t="str">
        <f>IF(NOTA[[#This Row],[JUMLAH]]="","",NOTA[[#This Row],[JUMLAH]]*NOTA[[#This Row],[DISC 1]])</f>
        <v/>
      </c>
      <c r="Y600" s="58" t="str">
        <f>IF(NOTA[[#This Row],[JUMLAH]]="","",(NOTA[[#This Row],[JUMLAH]]-NOTA[[#This Row],[DISC 1-]])*NOTA[[#This Row],[DISC 2]])</f>
        <v/>
      </c>
      <c r="Z600" s="58" t="str">
        <f>IF(NOTA[[#This Row],[JUMLAH]]="","",NOTA[[#This Row],[DISC 1-]]+NOTA[[#This Row],[DISC 2-]])</f>
        <v/>
      </c>
      <c r="AA600" s="58" t="str">
        <f>IF(NOTA[[#This Row],[JUMLAH]]="","",NOTA[[#This Row],[JUMLAH]]-NOTA[[#This Row],[DISC]])</f>
        <v/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0" s="58" t="str">
        <f>IF(OR(NOTA[[#This Row],[QTY]]="",NOTA[[#This Row],[HARGA SATUAN]]="",),"",NOTA[[#This Row],[QTY]]*NOTA[[#This Row],[HARGA SATUAN]])</f>
        <v/>
      </c>
      <c r="AF600" s="56">
        <f ca="1">IF(NOTA[ID_H]="","",INDEX(NOTA[TANGGAL],MATCH(,INDIRECT(ADDRESS(ROW(NOTA[TANGGAL]),COLUMN(NOTA[TANGGAL]))&amp;":"&amp;ADDRESS(ROW(),COLUMN(NOTA[TANGGAL]))),-1)))</f>
        <v>44868</v>
      </c>
      <c r="AG600" s="52" t="str">
        <f ca="1">IF(NOTA[[#This Row],[NAMA BARANG]]="","",INDEX(NOTA[SUPPLIER],MATCH(,INDIRECT(ADDRESS(ROW(NOTA[ID]),COLUMN(NOTA[ID]))&amp;":"&amp;ADDRESS(ROW(),COLUMN(NOTA[ID]))),-1)))</f>
        <v>GRAFINDO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ht="20.100000000000001" customHeight="1" x14ac:dyDescent="0.25">
      <c r="A6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3" t="str">
        <f>IF(NOTA[[#This Row],[ID_P]]="","",MATCH(NOTA[[#This Row],[ID_P]],[1]!B_MSK[N_ID],0))</f>
        <v/>
      </c>
      <c r="D601" s="53">
        <f ca="1">IF(NOTA[[#This Row],[NAMA BARANG]]="","",INDEX(NOTA[ID],MATCH(,INDIRECT(ADDRESS(ROW(NOTA[ID]),COLUMN(NOTA[ID]))&amp;":"&amp;ADDRESS(ROW(),COLUMN(NOTA[ID]))),-1)))</f>
        <v>135</v>
      </c>
      <c r="E601" s="60"/>
      <c r="F601" s="54"/>
      <c r="G601" s="54"/>
      <c r="H601" s="55"/>
      <c r="I601" s="54"/>
      <c r="J601" s="56"/>
      <c r="K601" s="54"/>
      <c r="L601" s="31" t="s">
        <v>782</v>
      </c>
      <c r="M601" s="57">
        <v>6</v>
      </c>
      <c r="N601" s="54">
        <v>300</v>
      </c>
      <c r="O601" s="31" t="s">
        <v>90</v>
      </c>
      <c r="P601" s="52">
        <v>17500</v>
      </c>
      <c r="Q601" s="164"/>
      <c r="R601" s="35" t="s">
        <v>257</v>
      </c>
      <c r="S601" s="59"/>
      <c r="T601" s="59"/>
      <c r="U601" s="58"/>
      <c r="V601" s="87" t="s">
        <v>783</v>
      </c>
      <c r="W601" s="58">
        <f>IF(NOTA[[#This Row],[HARGA/ CTN]]="",NOTA[[#This Row],[JUMLAH_H]],NOTA[[#This Row],[HARGA/ CTN]]*NOTA[[#This Row],[C]])</f>
        <v>5250000</v>
      </c>
      <c r="X601" s="58">
        <f>IF(NOTA[[#This Row],[JUMLAH]]="","",NOTA[[#This Row],[JUMLAH]]*NOTA[[#This Row],[DISC 1]])</f>
        <v>0</v>
      </c>
      <c r="Y601" s="58">
        <f>IF(NOTA[[#This Row],[JUMLAH]]="","",(NOTA[[#This Row],[JUMLAH]]-NOTA[[#This Row],[DISC 1-]])*NOTA[[#This Row],[DISC 2]])</f>
        <v>0</v>
      </c>
      <c r="Z601" s="58">
        <f>IF(NOTA[[#This Row],[JUMLAH]]="","",NOTA[[#This Row],[DISC 1-]]+NOTA[[#This Row],[DISC 2-]])</f>
        <v>0</v>
      </c>
      <c r="AA601" s="58">
        <f>IF(NOTA[[#This Row],[JUMLAH]]="","",NOTA[[#This Row],[JUMLAH]]-NOTA[[#This Row],[DISC]])</f>
        <v>5250000</v>
      </c>
      <c r="AB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01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1" s="58">
        <f>IF(OR(NOTA[[#This Row],[QTY]]="",NOTA[[#This Row],[HARGA SATUAN]]="",),"",NOTA[[#This Row],[QTY]]*NOTA[[#This Row],[HARGA SATUAN]])</f>
        <v>5250000</v>
      </c>
      <c r="AF601" s="56">
        <f ca="1">IF(NOTA[ID_H]="","",INDEX(NOTA[TANGGAL],MATCH(,INDIRECT(ADDRESS(ROW(NOTA[TANGGAL]),COLUMN(NOTA[TANGGAL]))&amp;":"&amp;ADDRESS(ROW(),COLUMN(NOTA[TANGGAL]))),-1)))</f>
        <v>44868</v>
      </c>
      <c r="AG601" s="52" t="str">
        <f ca="1">IF(NOTA[[#This Row],[NAMA BARANG]]="","",INDEX(NOTA[SUPPLIER],MATCH(,INDIRECT(ADDRESS(ROW(NOTA[ID]),COLUMN(NOTA[ID]))&amp;":"&amp;ADDRESS(ROW(),COLUMN(NOTA[ID]))),-1)))</f>
        <v>GRAFINDO</v>
      </c>
      <c r="AH601" s="16" t="str">
        <f ca="1">IF(NOTA[[#This Row],[ID]]="","",COUNTIF(NOTA[ID_H],NOTA[[#This Row],[ID_H]]))</f>
        <v/>
      </c>
      <c r="AI601" s="16">
        <f ca="1">IF(NOTA[[#This Row],[TGL.NOTA]]="",IF(NOTA[[#This Row],[SUPPLIER_H]]="","",AI600),MONTH(NOTA[[#This Row],[TGL.NOTA]]))</f>
        <v>10</v>
      </c>
      <c r="AJ601" s="16"/>
    </row>
    <row r="602" spans="1:36" ht="20.100000000000001" customHeight="1" x14ac:dyDescent="0.25">
      <c r="A6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3" t="str">
        <f>IF(NOTA[[#This Row],[ID_P]]="","",MATCH(NOTA[[#This Row],[ID_P]],[1]!B_MSK[N_ID],0))</f>
        <v/>
      </c>
      <c r="D602" s="53" t="str">
        <f ca="1">IF(NOTA[[#This Row],[NAMA BARANG]]="","",INDEX(NOTA[ID],MATCH(,INDIRECT(ADDRESS(ROW(NOTA[ID]),COLUMN(NOTA[ID]))&amp;":"&amp;ADDRESS(ROW(),COLUMN(NOTA[ID]))),-1)))</f>
        <v/>
      </c>
      <c r="E602" s="60"/>
      <c r="F602" s="54"/>
      <c r="G602" s="54"/>
      <c r="H602" s="55"/>
      <c r="I602" s="54"/>
      <c r="J602" s="56"/>
      <c r="K602" s="54"/>
      <c r="L602" s="31"/>
      <c r="M602" s="57"/>
      <c r="N602" s="54"/>
      <c r="O602" s="31"/>
      <c r="P602" s="52"/>
      <c r="Q602" s="164"/>
      <c r="R602" s="35"/>
      <c r="S602" s="59"/>
      <c r="T602" s="59"/>
      <c r="U602" s="58"/>
      <c r="V602" s="87"/>
      <c r="W602" s="58" t="str">
        <f>IF(NOTA[[#This Row],[HARGA/ CTN]]="",NOTA[[#This Row],[JUMLAH_H]],NOTA[[#This Row],[HARGA/ CTN]]*NOTA[[#This Row],[C]])</f>
        <v/>
      </c>
      <c r="X602" s="58" t="str">
        <f>IF(NOTA[[#This Row],[JUMLAH]]="","",NOTA[[#This Row],[JUMLAH]]*NOTA[[#This Row],[DISC 1]])</f>
        <v/>
      </c>
      <c r="Y602" s="58" t="str">
        <f>IF(NOTA[[#This Row],[JUMLAH]]="","",(NOTA[[#This Row],[JUMLAH]]-NOTA[[#This Row],[DISC 1-]])*NOTA[[#This Row],[DISC 2]])</f>
        <v/>
      </c>
      <c r="Z602" s="58" t="str">
        <f>IF(NOTA[[#This Row],[JUMLAH]]="","",NOTA[[#This Row],[DISC 1-]]+NOTA[[#This Row],[DISC 2-]])</f>
        <v/>
      </c>
      <c r="AA602" s="58" t="str">
        <f>IF(NOTA[[#This Row],[JUMLAH]]="","",NOTA[[#This Row],[JUMLAH]]-NOTA[[#This Row],[DISC]])</f>
        <v/>
      </c>
      <c r="AB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8" t="str">
        <f>IF(OR(NOTA[[#This Row],[QTY]]="",NOTA[[#This Row],[HARGA SATUAN]]="",),"",NOTA[[#This Row],[QTY]]*NOTA[[#This Row],[HARGA SATUAN]])</f>
        <v/>
      </c>
      <c r="AF602" s="56" t="str">
        <f ca="1">IF(NOTA[ID_H]="","",INDEX(NOTA[TANGGAL],MATCH(,INDIRECT(ADDRESS(ROW(NOTA[TANGGAL]),COLUMN(NOTA[TANGGAL]))&amp;":"&amp;ADDRESS(ROW(),COLUMN(NOTA[TANGGAL]))),-1)))</f>
        <v/>
      </c>
      <c r="AG602" s="52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 t="str">
        <f ca="1">IF(NOTA[[#This Row],[TGL.NOTA]]="",IF(NOTA[[#This Row],[SUPPLIER_H]]="","",AI601),MONTH(NOTA[[#This Row],[TGL.NOTA]]))</f>
        <v/>
      </c>
      <c r="AJ602" s="16"/>
    </row>
    <row r="603" spans="1:36" ht="20.100000000000001" customHeight="1" x14ac:dyDescent="0.25">
      <c r="A603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0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03" s="53" t="e">
        <f ca="1">IF(NOTA[[#This Row],[ID_P]]="","",MATCH(NOTA[[#This Row],[ID_P]],[1]!B_MSK[N_ID],0))</f>
        <v>#REF!</v>
      </c>
      <c r="D603" s="53">
        <f ca="1">IF(NOTA[[#This Row],[NAMA BARANG]]="","",INDEX(NOTA[ID],MATCH(,INDIRECT(ADDRESS(ROW(NOTA[ID]),COLUMN(NOTA[ID]))&amp;":"&amp;ADDRESS(ROW(),COLUMN(NOTA[ID]))),-1)))</f>
        <v>136</v>
      </c>
      <c r="E603" s="60"/>
      <c r="F603" s="31" t="s">
        <v>254</v>
      </c>
      <c r="G603" s="31" t="s">
        <v>87</v>
      </c>
      <c r="H603" s="33" t="s">
        <v>784</v>
      </c>
      <c r="I603" s="54"/>
      <c r="J603" s="56">
        <v>44862</v>
      </c>
      <c r="K603" s="54"/>
      <c r="L603" s="31" t="s">
        <v>256</v>
      </c>
      <c r="M603" s="57">
        <v>5</v>
      </c>
      <c r="N603" s="54">
        <v>250</v>
      </c>
      <c r="O603" s="31" t="s">
        <v>90</v>
      </c>
      <c r="P603" s="30">
        <v>17500</v>
      </c>
      <c r="Q603" s="103"/>
      <c r="R603" s="35" t="s">
        <v>396</v>
      </c>
      <c r="S603" s="59"/>
      <c r="T603" s="59"/>
      <c r="U603" s="58"/>
      <c r="V603" s="87"/>
      <c r="W603" s="58">
        <f>IF(NOTA[[#This Row],[HARGA/ CTN]]="",NOTA[[#This Row],[JUMLAH_H]],NOTA[[#This Row],[HARGA/ CTN]]*NOTA[[#This Row],[C]])</f>
        <v>4375000</v>
      </c>
      <c r="X603" s="58">
        <f>IF(NOTA[[#This Row],[JUMLAH]]="","",NOTA[[#This Row],[JUMLAH]]*NOTA[[#This Row],[DISC 1]])</f>
        <v>0</v>
      </c>
      <c r="Y603" s="58">
        <f>IF(NOTA[[#This Row],[JUMLAH]]="","",(NOTA[[#This Row],[JUMLAH]]-NOTA[[#This Row],[DISC 1-]])*NOTA[[#This Row],[DISC 2]])</f>
        <v>0</v>
      </c>
      <c r="Z603" s="58">
        <f>IF(NOTA[[#This Row],[JUMLAH]]="","",NOTA[[#This Row],[DISC 1-]]+NOTA[[#This Row],[DISC 2-]])</f>
        <v>0</v>
      </c>
      <c r="AA603" s="58">
        <f>IF(NOTA[[#This Row],[JUMLAH]]="","",NOTA[[#This Row],[JUMLAH]]-NOTA[[#This Row],[DISC]])</f>
        <v>4375000</v>
      </c>
      <c r="AB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3" s="58">
        <f>IF(OR(NOTA[[#This Row],[QTY]]="",NOTA[[#This Row],[HARGA SATUAN]]="",),"",NOTA[[#This Row],[QTY]]*NOTA[[#This Row],[HARGA SATUAN]])</f>
        <v>4375000</v>
      </c>
      <c r="AF603" s="56">
        <f ca="1">IF(NOTA[ID_H]="","",INDEX(NOTA[TANGGAL],MATCH(,INDIRECT(ADDRESS(ROW(NOTA[TANGGAL]),COLUMN(NOTA[TANGGAL]))&amp;":"&amp;ADDRESS(ROW(),COLUMN(NOTA[TANGGAL]))),-1)))</f>
        <v>44868</v>
      </c>
      <c r="AG603" s="52" t="str">
        <f ca="1">IF(NOTA[[#This Row],[NAMA BARANG]]="","",INDEX(NOTA[SUPPLIER],MATCH(,INDIRECT(ADDRESS(ROW(NOTA[ID]),COLUMN(NOTA[ID]))&amp;":"&amp;ADDRESS(ROW(),COLUMN(NOTA[ID]))),-1)))</f>
        <v>GRAFINDO</v>
      </c>
      <c r="AH603" s="16">
        <f ca="1">IF(NOTA[[#This Row],[ID]]="","",COUNTIF(NOTA[ID_H],NOTA[[#This Row],[ID_H]]))</f>
        <v>2</v>
      </c>
      <c r="AI603" s="16">
        <f>IF(NOTA[[#This Row],[TGL.NOTA]]="",IF(NOTA[[#This Row],[SUPPLIER_H]]="","",AI602),MONTH(NOTA[[#This Row],[TGL.NOTA]]))</f>
        <v>10</v>
      </c>
      <c r="AJ603" s="16"/>
    </row>
    <row r="604" spans="1:36" ht="20.100000000000001" customHeight="1" x14ac:dyDescent="0.25">
      <c r="A6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3" t="str">
        <f>IF(NOTA[[#This Row],[ID_P]]="","",MATCH(NOTA[[#This Row],[ID_P]],[1]!B_MSK[N_ID],0))</f>
        <v/>
      </c>
      <c r="D604" s="53">
        <f ca="1">IF(NOTA[[#This Row],[NAMA BARANG]]="","",INDEX(NOTA[ID],MATCH(,INDIRECT(ADDRESS(ROW(NOTA[ID]),COLUMN(NOTA[ID]))&amp;":"&amp;ADDRESS(ROW(),COLUMN(NOTA[ID]))),-1)))</f>
        <v>136</v>
      </c>
      <c r="E604" s="60"/>
      <c r="F604" s="54"/>
      <c r="G604" s="54"/>
      <c r="H604" s="55"/>
      <c r="I604" s="54"/>
      <c r="J604" s="56"/>
      <c r="K604" s="54"/>
      <c r="L604" s="31" t="s">
        <v>782</v>
      </c>
      <c r="M604" s="57">
        <v>2</v>
      </c>
      <c r="N604" s="54">
        <v>100</v>
      </c>
      <c r="O604" s="31" t="s">
        <v>90</v>
      </c>
      <c r="P604" s="52">
        <v>17500</v>
      </c>
      <c r="Q604" s="164"/>
      <c r="R604" s="35" t="s">
        <v>396</v>
      </c>
      <c r="S604" s="59"/>
      <c r="T604" s="59"/>
      <c r="U604" s="58"/>
      <c r="V604" s="87"/>
      <c r="W604" s="58">
        <f>IF(NOTA[[#This Row],[HARGA/ CTN]]="",NOTA[[#This Row],[JUMLAH_H]],NOTA[[#This Row],[HARGA/ CTN]]*NOTA[[#This Row],[C]])</f>
        <v>1750000</v>
      </c>
      <c r="X604" s="58">
        <f>IF(NOTA[[#This Row],[JUMLAH]]="","",NOTA[[#This Row],[JUMLAH]]*NOTA[[#This Row],[DISC 1]])</f>
        <v>0</v>
      </c>
      <c r="Y604" s="58">
        <f>IF(NOTA[[#This Row],[JUMLAH]]="","",(NOTA[[#This Row],[JUMLAH]]-NOTA[[#This Row],[DISC 1-]])*NOTA[[#This Row],[DISC 2]])</f>
        <v>0</v>
      </c>
      <c r="Z604" s="58">
        <f>IF(NOTA[[#This Row],[JUMLAH]]="","",NOTA[[#This Row],[DISC 1-]]+NOTA[[#This Row],[DISC 2-]])</f>
        <v>0</v>
      </c>
      <c r="AA604" s="58">
        <f>IF(NOTA[[#This Row],[JUMLAH]]="","",NOTA[[#This Row],[JUMLAH]]-NOTA[[#This Row],[DISC]])</f>
        <v>1750000</v>
      </c>
      <c r="AB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4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04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04" s="58">
        <f>IF(OR(NOTA[[#This Row],[QTY]]="",NOTA[[#This Row],[HARGA SATUAN]]="",),"",NOTA[[#This Row],[QTY]]*NOTA[[#This Row],[HARGA SATUAN]])</f>
        <v>1750000</v>
      </c>
      <c r="AF604" s="56">
        <f ca="1">IF(NOTA[ID_H]="","",INDEX(NOTA[TANGGAL],MATCH(,INDIRECT(ADDRESS(ROW(NOTA[TANGGAL]),COLUMN(NOTA[TANGGAL]))&amp;":"&amp;ADDRESS(ROW(),COLUMN(NOTA[TANGGAL]))),-1)))</f>
        <v>44868</v>
      </c>
      <c r="AG604" s="52" t="str">
        <f ca="1">IF(NOTA[[#This Row],[NAMA BARANG]]="","",INDEX(NOTA[SUPPLIER],MATCH(,INDIRECT(ADDRESS(ROW(NOTA[ID]),COLUMN(NOTA[ID]))&amp;":"&amp;ADDRESS(ROW(),COLUMN(NOTA[ID]))),-1)))</f>
        <v>GRAFINDO</v>
      </c>
      <c r="AH604" s="16" t="str">
        <f ca="1">IF(NOTA[[#This Row],[ID]]="","",COUNTIF(NOTA[ID_H],NOTA[[#This Row],[ID_H]]))</f>
        <v/>
      </c>
      <c r="AI604" s="16">
        <f ca="1">IF(NOTA[[#This Row],[TGL.NOTA]]="",IF(NOTA[[#This Row],[SUPPLIER_H]]="","",AI603),MONTH(NOTA[[#This Row],[TGL.NOTA]]))</f>
        <v>10</v>
      </c>
      <c r="AJ604" s="16"/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 t="str">
        <f ca="1">IF(NOTA[[#This Row],[NAMA BARANG]]="","",INDEX(NOTA[ID],MATCH(,INDIRECT(ADDRESS(ROW(NOTA[ID]),COLUMN(NOTA[ID]))&amp;":"&amp;ADDRESS(ROW(),COLUMN(NOTA[ID]))),-1)))</f>
        <v/>
      </c>
      <c r="E605" s="60"/>
      <c r="F605" s="54"/>
      <c r="G605" s="54"/>
      <c r="H605" s="55"/>
      <c r="I605" s="54"/>
      <c r="J605" s="56"/>
      <c r="K605" s="54"/>
      <c r="L605" s="31"/>
      <c r="M605" s="57"/>
      <c r="N605" s="54"/>
      <c r="O605" s="31"/>
      <c r="P605" s="52"/>
      <c r="Q605" s="164"/>
      <c r="R605" s="35"/>
      <c r="S605" s="59"/>
      <c r="T605" s="59"/>
      <c r="U605" s="58"/>
      <c r="V605" s="87"/>
      <c r="W605" s="58" t="str">
        <f>IF(NOTA[[#This Row],[HARGA/ CTN]]="",NOTA[[#This Row],[JUMLAH_H]],NOTA[[#This Row],[HARGA/ CTN]]*NOTA[[#This Row],[C]])</f>
        <v/>
      </c>
      <c r="X605" s="58" t="str">
        <f>IF(NOTA[[#This Row],[JUMLAH]]="","",NOTA[[#This Row],[JUMLAH]]*NOTA[[#This Row],[DISC 1]])</f>
        <v/>
      </c>
      <c r="Y605" s="58" t="str">
        <f>IF(NOTA[[#This Row],[JUMLAH]]="","",(NOTA[[#This Row],[JUMLAH]]-NOTA[[#This Row],[DISC 1-]])*NOTA[[#This Row],[DISC 2]])</f>
        <v/>
      </c>
      <c r="Z605" s="58" t="str">
        <f>IF(NOTA[[#This Row],[JUMLAH]]="","",NOTA[[#This Row],[DISC 1-]]+NOTA[[#This Row],[DISC 2-]])</f>
        <v/>
      </c>
      <c r="AA605" s="58" t="str">
        <f>IF(NOTA[[#This Row],[JUMLAH]]="","",NOTA[[#This Row],[JUMLAH]]-NOTA[[#This Row],[DISC]])</f>
        <v/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8" t="str">
        <f>IF(OR(NOTA[[#This Row],[QTY]]="",NOTA[[#This Row],[HARGA SATUAN]]="",),"",NOTA[[#This Row],[QTY]]*NOTA[[#This Row],[HARGA SATUAN]])</f>
        <v/>
      </c>
      <c r="AF605" s="56" t="str">
        <f ca="1">IF(NOTA[ID_H]="","",INDEX(NOTA[TANGGAL],MATCH(,INDIRECT(ADDRESS(ROW(NOTA[TANGGAL]),COLUMN(NOTA[TANGGAL]))&amp;":"&amp;ADDRESS(ROW(),COLUMN(NOTA[TANGGAL]))),-1)))</f>
        <v/>
      </c>
      <c r="AG605" s="52" t="str">
        <f ca="1">IF(NOTA[[#This Row],[NAMA BARANG]]="","",INDEX(NOTA[SUPPLIER],MATCH(,INDIRECT(ADDRESS(ROW(NOTA[ID]),COLUMN(NOTA[ID]))&amp;":"&amp;ADDRESS(ROW(),COLUMN(NOTA[ID]))),-1)))</f>
        <v/>
      </c>
      <c r="AH605" s="16" t="str">
        <f ca="1">IF(NOTA[[#This Row],[ID]]="","",COUNTIF(NOTA[ID_H],NOTA[[#This Row],[ID_H]]))</f>
        <v/>
      </c>
      <c r="AI605" s="16" t="str">
        <f ca="1">IF(NOTA[[#This Row],[TGL.NOTA]]="",IF(NOTA[[#This Row],[SUPPLIER_H]]="","",AI604),MONTH(NOTA[[#This Row],[TGL.NOTA]]))</f>
        <v/>
      </c>
      <c r="AJ605" s="16"/>
    </row>
    <row r="606" spans="1:36" ht="20.100000000000001" customHeight="1" x14ac:dyDescent="0.25">
      <c r="A606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0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06" s="53" t="e">
        <f ca="1">IF(NOTA[[#This Row],[ID_P]]="","",MATCH(NOTA[[#This Row],[ID_P]],[1]!B_MSK[N_ID],0))</f>
        <v>#REF!</v>
      </c>
      <c r="D606" s="53">
        <f ca="1">IF(NOTA[[#This Row],[NAMA BARANG]]="","",INDEX(NOTA[ID],MATCH(,INDIRECT(ADDRESS(ROW(NOTA[ID]),COLUMN(NOTA[ID]))&amp;":"&amp;ADDRESS(ROW(),COLUMN(NOTA[ID]))),-1)))</f>
        <v>137</v>
      </c>
      <c r="E606" s="60">
        <v>44869</v>
      </c>
      <c r="F606" s="31" t="s">
        <v>560</v>
      </c>
      <c r="G606" s="31" t="s">
        <v>87</v>
      </c>
      <c r="H606" s="55"/>
      <c r="I606" s="31" t="s">
        <v>785</v>
      </c>
      <c r="J606" s="56">
        <v>44861</v>
      </c>
      <c r="K606" s="54"/>
      <c r="L606" s="31" t="s">
        <v>786</v>
      </c>
      <c r="M606" s="57">
        <v>5</v>
      </c>
      <c r="N606" s="54"/>
      <c r="O606" s="31"/>
      <c r="P606" s="52"/>
      <c r="Q606" s="164"/>
      <c r="R606" s="35" t="s">
        <v>622</v>
      </c>
      <c r="S606" s="59"/>
      <c r="T606" s="59"/>
      <c r="U606" s="58"/>
      <c r="V606" s="87" t="s">
        <v>237</v>
      </c>
      <c r="W606" s="58" t="str">
        <f>IF(NOTA[[#This Row],[HARGA/ CTN]]="",NOTA[[#This Row],[JUMLAH_H]],NOTA[[#This Row],[HARGA/ CTN]]*NOTA[[#This Row],[C]])</f>
        <v/>
      </c>
      <c r="X606" s="58" t="str">
        <f>IF(NOTA[[#This Row],[JUMLAH]]="","",NOTA[[#This Row],[JUMLAH]]*NOTA[[#This Row],[DISC 1]])</f>
        <v/>
      </c>
      <c r="Y606" s="58" t="str">
        <f>IF(NOTA[[#This Row],[JUMLAH]]="","",(NOTA[[#This Row],[JUMLAH]]-NOTA[[#This Row],[DISC 1-]])*NOTA[[#This Row],[DISC 2]])</f>
        <v/>
      </c>
      <c r="Z606" s="58" t="str">
        <f>IF(NOTA[[#This Row],[JUMLAH]]="","",NOTA[[#This Row],[DISC 1-]]+NOTA[[#This Row],[DISC 2-]])</f>
        <v/>
      </c>
      <c r="AA606" s="58" t="str">
        <f>IF(NOTA[[#This Row],[JUMLAH]]="","",NOTA[[#This Row],[JUMLAH]]-NOTA[[#This Row],[DISC]])</f>
        <v/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6" s="58" t="str">
        <f>IF(OR(NOTA[[#This Row],[QTY]]="",NOTA[[#This Row],[HARGA SATUAN]]="",),"",NOTA[[#This Row],[QTY]]*NOTA[[#This Row],[HARGA SATUAN]])</f>
        <v/>
      </c>
      <c r="AF606" s="56">
        <f ca="1">IF(NOTA[ID_H]="","",INDEX(NOTA[TANGGAL],MATCH(,INDIRECT(ADDRESS(ROW(NOTA[TANGGAL]),COLUMN(NOTA[TANGGAL]))&amp;":"&amp;ADDRESS(ROW(),COLUMN(NOTA[TANGGAL]))),-1)))</f>
        <v>44869</v>
      </c>
      <c r="AG606" s="52" t="str">
        <f ca="1">IF(NOTA[[#This Row],[NAMA BARANG]]="","",INDEX(NOTA[SUPPLIER],MATCH(,INDIRECT(ADDRESS(ROW(NOTA[ID]),COLUMN(NOTA[ID]))&amp;":"&amp;ADDRESS(ROW(),COLUMN(NOTA[ID]))),-1)))</f>
        <v>SBS</v>
      </c>
      <c r="AH606" s="16">
        <f ca="1">IF(NOTA[[#This Row],[ID]]="","",COUNTIF(NOTA[ID_H],NOTA[[#This Row],[ID_H]]))</f>
        <v>8</v>
      </c>
      <c r="AI606" s="16">
        <f>IF(NOTA[[#This Row],[TGL.NOTA]]="",IF(NOTA[[#This Row],[SUPPLIER_H]]="","",#REF!),MONTH(NOTA[[#This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137</v>
      </c>
      <c r="E607" s="60"/>
      <c r="F607" s="54"/>
      <c r="G607" s="54"/>
      <c r="H607" s="55"/>
      <c r="I607" s="54"/>
      <c r="J607" s="56"/>
      <c r="K607" s="54"/>
      <c r="L607" s="31" t="s">
        <v>787</v>
      </c>
      <c r="M607" s="57">
        <v>6</v>
      </c>
      <c r="N607" s="54"/>
      <c r="O607" s="31"/>
      <c r="P607" s="52"/>
      <c r="Q607" s="164"/>
      <c r="R607" s="35" t="s">
        <v>769</v>
      </c>
      <c r="S607" s="59"/>
      <c r="T607" s="59"/>
      <c r="U607" s="58"/>
      <c r="V607" s="87"/>
      <c r="W607" s="58" t="str">
        <f>IF(NOTA[[#This Row],[HARGA/ CTN]]="",NOTA[[#This Row],[JUMLAH_H]],NOTA[[#This Row],[HARGA/ CTN]]*NOTA[[#This Row],[C]])</f>
        <v/>
      </c>
      <c r="X607" s="58" t="str">
        <f>IF(NOTA[[#This Row],[JUMLAH]]="","",NOTA[[#This Row],[JUMLAH]]*NOTA[[#This Row],[DISC 1]])</f>
        <v/>
      </c>
      <c r="Y607" s="58" t="str">
        <f>IF(NOTA[[#This Row],[JUMLAH]]="","",(NOTA[[#This Row],[JUMLAH]]-NOTA[[#This Row],[DISC 1-]])*NOTA[[#This Row],[DISC 2]])</f>
        <v/>
      </c>
      <c r="Z607" s="58" t="str">
        <f>IF(NOTA[[#This Row],[JUMLAH]]="","",NOTA[[#This Row],[DISC 1-]]+NOTA[[#This Row],[DISC 2-]])</f>
        <v/>
      </c>
      <c r="AA607" s="58" t="str">
        <f>IF(NOTA[[#This Row],[JUMLAH]]="","",NOTA[[#This Row],[JUMLAH]]-NOTA[[#This Row],[DISC]])</f>
        <v/>
      </c>
      <c r="AB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7" s="58" t="str">
        <f>IF(OR(NOTA[[#This Row],[QTY]]="",NOTA[[#This Row],[HARGA SATUAN]]="",),"",NOTA[[#This Row],[QTY]]*NOTA[[#This Row],[HARGA SATUAN]])</f>
        <v/>
      </c>
      <c r="AF607" s="56">
        <f ca="1">IF(NOTA[ID_H]="","",INDEX(NOTA[TANGGAL],MATCH(,INDIRECT(ADDRESS(ROW(NOTA[TANGGAL]),COLUMN(NOTA[TANGGAL]))&amp;":"&amp;ADDRESS(ROW(),COLUMN(NOTA[TANGGAL]))),-1)))</f>
        <v>44869</v>
      </c>
      <c r="AG607" s="52" t="str">
        <f ca="1">IF(NOTA[[#This Row],[NAMA BARANG]]="","",INDEX(NOTA[SUPPLIER],MATCH(,INDIRECT(ADDRESS(ROW(NOTA[ID]),COLUMN(NOTA[ID]))&amp;":"&amp;ADDRESS(ROW(),COLUMN(NOTA[ID]))),-1)))</f>
        <v>SBS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>
        <f ca="1">IF(NOTA[[#This Row],[NAMA BARANG]]="","",INDEX(NOTA[ID],MATCH(,INDIRECT(ADDRESS(ROW(NOTA[ID]),COLUMN(NOTA[ID]))&amp;":"&amp;ADDRESS(ROW(),COLUMN(NOTA[ID]))),-1)))</f>
        <v>137</v>
      </c>
      <c r="E608" s="60"/>
      <c r="F608" s="31"/>
      <c r="G608" s="31"/>
      <c r="H608" s="33"/>
      <c r="I608" s="54"/>
      <c r="J608" s="56"/>
      <c r="K608" s="54"/>
      <c r="L608" s="31" t="s">
        <v>802</v>
      </c>
      <c r="M608" s="57">
        <v>5</v>
      </c>
      <c r="N608" s="54"/>
      <c r="O608" s="31"/>
      <c r="P608" s="52"/>
      <c r="Q608" s="164"/>
      <c r="R608" s="35" t="s">
        <v>558</v>
      </c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8" s="58" t="str">
        <f>IF(OR(NOTA[[#This Row],[QTY]]="",NOTA[[#This Row],[HARGA SATUAN]]="",),"",NOTA[[#This Row],[QTY]]*NOTA[[#This Row],[HARGA SATUAN]])</f>
        <v/>
      </c>
      <c r="AF608" s="56">
        <f ca="1">IF(NOTA[ID_H]="","",INDEX(NOTA[TANGGAL],MATCH(,INDIRECT(ADDRESS(ROW(NOTA[TANGGAL]),COLUMN(NOTA[TANGGAL]))&amp;":"&amp;ADDRESS(ROW(),COLUMN(NOTA[TANGGAL]))),-1)))</f>
        <v>44869</v>
      </c>
      <c r="AG608" s="52" t="str">
        <f ca="1">IF(NOTA[[#This Row],[NAMA BARANG]]="","",INDEX(NOTA[SUPPLIER],MATCH(,INDIRECT(ADDRESS(ROW(NOTA[ID]),COLUMN(NOTA[ID]))&amp;":"&amp;ADDRESS(ROW(),COLUMN(NOTA[ID]))),-1)))</f>
        <v>SBS</v>
      </c>
      <c r="AH608" s="16" t="str">
        <f ca="1">IF(NOTA[[#This Row],[ID]]="","",COUNTIF(NOTA[ID_H],NOTA[[#This Row],[ID_H]]))</f>
        <v/>
      </c>
      <c r="AI608" s="16">
        <f ca="1">IF(NOTA[[#This Row],[TGL.NOTA]]="",IF(NOTA[[#This Row],[SUPPLIER_H]]="","",AI607),MONTH(NOTA[[#This Row],[TGL.NOTA]]))</f>
        <v>10</v>
      </c>
      <c r="AJ608" s="16"/>
    </row>
    <row r="609" spans="1:36" ht="20.100000000000001" customHeight="1" x14ac:dyDescent="0.25">
      <c r="A6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3" t="str">
        <f>IF(NOTA[[#This Row],[ID_P]]="","",MATCH(NOTA[[#This Row],[ID_P]],[1]!B_MSK[N_ID],0))</f>
        <v/>
      </c>
      <c r="D609" s="53">
        <f ca="1">IF(NOTA[[#This Row],[NAMA BARANG]]="","",INDEX(NOTA[ID],MATCH(,INDIRECT(ADDRESS(ROW(NOTA[ID]),COLUMN(NOTA[ID]))&amp;":"&amp;ADDRESS(ROW(),COLUMN(NOTA[ID]))),-1)))</f>
        <v>137</v>
      </c>
      <c r="E609" s="60"/>
      <c r="F609" s="54"/>
      <c r="G609" s="54"/>
      <c r="H609" s="55"/>
      <c r="I609" s="54"/>
      <c r="J609" s="56"/>
      <c r="K609" s="54"/>
      <c r="L609" s="31" t="s">
        <v>803</v>
      </c>
      <c r="M609" s="57">
        <v>5</v>
      </c>
      <c r="N609" s="54"/>
      <c r="O609" s="31"/>
      <c r="P609" s="52"/>
      <c r="Q609" s="164"/>
      <c r="R609" s="35" t="s">
        <v>558</v>
      </c>
      <c r="S609" s="59"/>
      <c r="T609" s="59"/>
      <c r="U609" s="58"/>
      <c r="V609" s="87"/>
      <c r="W609" s="58" t="str">
        <f>IF(NOTA[[#This Row],[HARGA/ CTN]]="",NOTA[[#This Row],[JUMLAH_H]],NOTA[[#This Row],[HARGA/ CTN]]*NOTA[[#This Row],[C]])</f>
        <v/>
      </c>
      <c r="X609" s="58" t="str">
        <f>IF(NOTA[[#This Row],[JUMLAH]]="","",NOTA[[#This Row],[JUMLAH]]*NOTA[[#This Row],[DISC 1]])</f>
        <v/>
      </c>
      <c r="Y609" s="58" t="str">
        <f>IF(NOTA[[#This Row],[JUMLAH]]="","",(NOTA[[#This Row],[JUMLAH]]-NOTA[[#This Row],[DISC 1-]])*NOTA[[#This Row],[DISC 2]])</f>
        <v/>
      </c>
      <c r="Z609" s="58" t="str">
        <f>IF(NOTA[[#This Row],[JUMLAH]]="","",NOTA[[#This Row],[DISC 1-]]+NOTA[[#This Row],[DISC 2-]])</f>
        <v/>
      </c>
      <c r="AA609" s="58" t="str">
        <f>IF(NOTA[[#This Row],[JUMLAH]]="","",NOTA[[#This Row],[JUMLAH]]-NOTA[[#This Row],[DISC]])</f>
        <v/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9" s="58" t="str">
        <f>IF(OR(NOTA[[#This Row],[QTY]]="",NOTA[[#This Row],[HARGA SATUAN]]="",),"",NOTA[[#This Row],[QTY]]*NOTA[[#This Row],[HARGA SATUAN]])</f>
        <v/>
      </c>
      <c r="AF609" s="56">
        <f ca="1">IF(NOTA[ID_H]="","",INDEX(NOTA[TANGGAL],MATCH(,INDIRECT(ADDRESS(ROW(NOTA[TANGGAL]),COLUMN(NOTA[TANGGAL]))&amp;":"&amp;ADDRESS(ROW(),COLUMN(NOTA[TANGGAL]))),-1)))</f>
        <v>44869</v>
      </c>
      <c r="AG609" s="52" t="str">
        <f ca="1">IF(NOTA[[#This Row],[NAMA BARANG]]="","",INDEX(NOTA[SUPPLIER],MATCH(,INDIRECT(ADDRESS(ROW(NOTA[ID]),COLUMN(NOTA[ID]))&amp;":"&amp;ADDRESS(ROW(),COLUMN(NOTA[ID]))),-1)))</f>
        <v>SBS</v>
      </c>
      <c r="AH609" s="16" t="str">
        <f ca="1">IF(NOTA[[#This Row],[ID]]="","",COUNTIF(NOTA[ID_H],NOTA[[#This Row],[ID_H]]))</f>
        <v/>
      </c>
      <c r="AI609" s="16">
        <f ca="1"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137</v>
      </c>
      <c r="E610" s="60"/>
      <c r="F610" s="54"/>
      <c r="G610" s="54"/>
      <c r="H610" s="55"/>
      <c r="I610" s="54"/>
      <c r="J610" s="56"/>
      <c r="K610" s="54"/>
      <c r="L610" s="31" t="s">
        <v>788</v>
      </c>
      <c r="M610" s="57">
        <v>1</v>
      </c>
      <c r="N610" s="54"/>
      <c r="O610" s="31"/>
      <c r="P610" s="52"/>
      <c r="Q610" s="164"/>
      <c r="R610" s="35" t="s">
        <v>632</v>
      </c>
      <c r="S610" s="59"/>
      <c r="T610" s="59"/>
      <c r="U610" s="58"/>
      <c r="V610" s="87"/>
      <c r="W610" s="58" t="str">
        <f>IF(NOTA[[#This Row],[HARGA/ CTN]]="",NOTA[[#This Row],[JUMLAH_H]],NOTA[[#This Row],[HARGA/ CTN]]*NOTA[[#This Row],[C]])</f>
        <v/>
      </c>
      <c r="X610" s="58" t="str">
        <f>IF(NOTA[[#This Row],[JUMLAH]]="","",NOTA[[#This Row],[JUMLAH]]*NOTA[[#This Row],[DISC 1]])</f>
        <v/>
      </c>
      <c r="Y610" s="58" t="str">
        <f>IF(NOTA[[#This Row],[JUMLAH]]="","",(NOTA[[#This Row],[JUMLAH]]-NOTA[[#This Row],[DISC 1-]])*NOTA[[#This Row],[DISC 2]])</f>
        <v/>
      </c>
      <c r="Z610" s="58" t="str">
        <f>IF(NOTA[[#This Row],[JUMLAH]]="","",NOTA[[#This Row],[DISC 1-]]+NOTA[[#This Row],[DISC 2-]])</f>
        <v/>
      </c>
      <c r="AA610" s="58" t="str">
        <f>IF(NOTA[[#This Row],[JUMLAH]]="","",NOTA[[#This Row],[JUMLAH]]-NOTA[[#This Row],[DISC]])</f>
        <v/>
      </c>
      <c r="AB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0" s="58" t="str">
        <f>IF(OR(NOTA[[#This Row],[QTY]]="",NOTA[[#This Row],[HARGA SATUAN]]="",),"",NOTA[[#This Row],[QTY]]*NOTA[[#This Row],[HARGA SATUAN]])</f>
        <v/>
      </c>
      <c r="AF610" s="56">
        <f ca="1">IF(NOTA[ID_H]="","",INDEX(NOTA[TANGGAL],MATCH(,INDIRECT(ADDRESS(ROW(NOTA[TANGGAL]),COLUMN(NOTA[TANGGAL]))&amp;":"&amp;ADDRESS(ROW(),COLUMN(NOTA[TANGGAL]))),-1)))</f>
        <v>44869</v>
      </c>
      <c r="AG610" s="52" t="str">
        <f ca="1">IF(NOTA[[#This Row],[NAMA BARANG]]="","",INDEX(NOTA[SUPPLIER],MATCH(,INDIRECT(ADDRESS(ROW(NOTA[ID]),COLUMN(NOTA[ID]))&amp;":"&amp;ADDRESS(ROW(),COLUMN(NOTA[ID]))),-1)))</f>
        <v>SBS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>
        <f ca="1">IF(NOTA[[#This Row],[NAMA BARANG]]="","",INDEX(NOTA[ID],MATCH(,INDIRECT(ADDRESS(ROW(NOTA[ID]),COLUMN(NOTA[ID]))&amp;":"&amp;ADDRESS(ROW(),COLUMN(NOTA[ID]))),-1)))</f>
        <v>137</v>
      </c>
      <c r="E611" s="60"/>
      <c r="F611" s="31"/>
      <c r="G611" s="31"/>
      <c r="H611" s="33"/>
      <c r="I611" s="54"/>
      <c r="J611" s="34"/>
      <c r="K611" s="54"/>
      <c r="L611" s="31" t="s">
        <v>804</v>
      </c>
      <c r="M611" s="57">
        <v>6</v>
      </c>
      <c r="N611" s="54"/>
      <c r="O611" s="31"/>
      <c r="P611" s="52"/>
      <c r="Q611" s="164"/>
      <c r="R611" s="35" t="s">
        <v>105</v>
      </c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1" s="58" t="str">
        <f>IF(OR(NOTA[[#This Row],[QTY]]="",NOTA[[#This Row],[HARGA SATUAN]]="",),"",NOTA[[#This Row],[QTY]]*NOTA[[#This Row],[HARGA SATUAN]])</f>
        <v/>
      </c>
      <c r="AF611" s="56">
        <f ca="1">IF(NOTA[ID_H]="","",INDEX(NOTA[TANGGAL],MATCH(,INDIRECT(ADDRESS(ROW(NOTA[TANGGAL]),COLUMN(NOTA[TANGGAL]))&amp;":"&amp;ADDRESS(ROW(),COLUMN(NOTA[TANGGAL]))),-1)))</f>
        <v>44869</v>
      </c>
      <c r="AG611" s="52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>
        <f ca="1">IF(NOTA[[#This Row],[TGL.NOTA]]="",IF(NOTA[[#This Row],[SUPPLIER_H]]="","",AI610),MONTH(NOTA[[#This Row],[TGL.NOTA]]))</f>
        <v>10</v>
      </c>
      <c r="AJ611" s="16"/>
    </row>
    <row r="612" spans="1:36" ht="20.100000000000001" customHeight="1" x14ac:dyDescent="0.25">
      <c r="A6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3" t="str">
        <f>IF(NOTA[[#This Row],[ID_P]]="","",MATCH(NOTA[[#This Row],[ID_P]],[1]!B_MSK[N_ID],0))</f>
        <v/>
      </c>
      <c r="D612" s="53">
        <f ca="1">IF(NOTA[[#This Row],[NAMA BARANG]]="","",INDEX(NOTA[ID],MATCH(,INDIRECT(ADDRESS(ROW(NOTA[ID]),COLUMN(NOTA[ID]))&amp;":"&amp;ADDRESS(ROW(),COLUMN(NOTA[ID]))),-1)))</f>
        <v>137</v>
      </c>
      <c r="E612" s="60"/>
      <c r="F612" s="54"/>
      <c r="G612" s="54"/>
      <c r="H612" s="55"/>
      <c r="I612" s="54"/>
      <c r="J612" s="56"/>
      <c r="K612" s="54"/>
      <c r="L612" s="31" t="s">
        <v>805</v>
      </c>
      <c r="M612" s="57">
        <v>1</v>
      </c>
      <c r="N612" s="54"/>
      <c r="O612" s="31"/>
      <c r="P612" s="52"/>
      <c r="Q612" s="164"/>
      <c r="R612" s="35" t="s">
        <v>105</v>
      </c>
      <c r="S612" s="59"/>
      <c r="T612" s="59"/>
      <c r="U612" s="58"/>
      <c r="V612" s="87"/>
      <c r="W612" s="58" t="str">
        <f>IF(NOTA[[#This Row],[HARGA/ CTN]]="",NOTA[[#This Row],[JUMLAH_H]],NOTA[[#This Row],[HARGA/ CTN]]*NOTA[[#This Row],[C]])</f>
        <v/>
      </c>
      <c r="X612" s="58" t="str">
        <f>IF(NOTA[[#This Row],[JUMLAH]]="","",NOTA[[#This Row],[JUMLAH]]*NOTA[[#This Row],[DISC 1]])</f>
        <v/>
      </c>
      <c r="Y612" s="58" t="str">
        <f>IF(NOTA[[#This Row],[JUMLAH]]="","",(NOTA[[#This Row],[JUMLAH]]-NOTA[[#This Row],[DISC 1-]])*NOTA[[#This Row],[DISC 2]])</f>
        <v/>
      </c>
      <c r="Z612" s="58" t="str">
        <f>IF(NOTA[[#This Row],[JUMLAH]]="","",NOTA[[#This Row],[DISC 1-]]+NOTA[[#This Row],[DISC 2-]])</f>
        <v/>
      </c>
      <c r="AA612" s="58" t="str">
        <f>IF(NOTA[[#This Row],[JUMLAH]]="","",NOTA[[#This Row],[JUMLAH]]-NOTA[[#This Row],[DISC]])</f>
        <v/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2" s="58" t="str">
        <f>IF(OR(NOTA[[#This Row],[QTY]]="",NOTA[[#This Row],[HARGA SATUAN]]="",),"",NOTA[[#This Row],[QTY]]*NOTA[[#This Row],[HARGA SATUAN]])</f>
        <v/>
      </c>
      <c r="AF612" s="56">
        <f ca="1">IF(NOTA[ID_H]="","",INDEX(NOTA[TANGGAL],MATCH(,INDIRECT(ADDRESS(ROW(NOTA[TANGGAL]),COLUMN(NOTA[TANGGAL]))&amp;":"&amp;ADDRESS(ROW(),COLUMN(NOTA[TANGGAL]))),-1)))</f>
        <v>44869</v>
      </c>
      <c r="AG612" s="52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>
        <f ca="1"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137</v>
      </c>
      <c r="E613" s="60"/>
      <c r="F613" s="54"/>
      <c r="G613" s="54"/>
      <c r="H613" s="55"/>
      <c r="I613" s="54"/>
      <c r="J613" s="56"/>
      <c r="K613" s="54"/>
      <c r="L613" s="31" t="s">
        <v>806</v>
      </c>
      <c r="M613" s="57">
        <v>5</v>
      </c>
      <c r="N613" s="54"/>
      <c r="O613" s="31"/>
      <c r="P613" s="52"/>
      <c r="Q613" s="164"/>
      <c r="R613" s="35" t="s">
        <v>558</v>
      </c>
      <c r="S613" s="59"/>
      <c r="T613" s="59"/>
      <c r="U613" s="58"/>
      <c r="V613" s="87"/>
      <c r="W613" s="58" t="str">
        <f>IF(NOTA[[#This Row],[HARGA/ CTN]]="",NOTA[[#This Row],[JUMLAH_H]],NOTA[[#This Row],[HARGA/ CTN]]*NOTA[[#This Row],[C]])</f>
        <v/>
      </c>
      <c r="X613" s="58" t="str">
        <f>IF(NOTA[[#This Row],[JUMLAH]]="","",NOTA[[#This Row],[JUMLAH]]*NOTA[[#This Row],[DISC 1]])</f>
        <v/>
      </c>
      <c r="Y613" s="58" t="str">
        <f>IF(NOTA[[#This Row],[JUMLAH]]="","",(NOTA[[#This Row],[JUMLAH]]-NOTA[[#This Row],[DISC 1-]])*NOTA[[#This Row],[DISC 2]])</f>
        <v/>
      </c>
      <c r="Z613" s="58" t="str">
        <f>IF(NOTA[[#This Row],[JUMLAH]]="","",NOTA[[#This Row],[DISC 1-]]+NOTA[[#This Row],[DISC 2-]])</f>
        <v/>
      </c>
      <c r="AA613" s="58" t="str">
        <f>IF(NOTA[[#This Row],[JUMLAH]]="","",NOTA[[#This Row],[JUMLAH]]-NOTA[[#This Row],[DISC]])</f>
        <v/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3" s="58" t="str">
        <f>IF(OR(NOTA[[#This Row],[QTY]]="",NOTA[[#This Row],[HARGA SATUAN]]="",),"",NOTA[[#This Row],[QTY]]*NOTA[[#This Row],[HARGA SATUAN]])</f>
        <v/>
      </c>
      <c r="AF613" s="56">
        <f ca="1">IF(NOTA[ID_H]="","",INDEX(NOTA[TANGGAL],MATCH(,INDIRECT(ADDRESS(ROW(NOTA[TANGGAL]),COLUMN(NOTA[TANGGAL]))&amp;":"&amp;ADDRESS(ROW(),COLUMN(NOTA[TANGGAL]))),-1)))</f>
        <v>44869</v>
      </c>
      <c r="AG613" s="52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4"/>
      <c r="R614" s="35"/>
      <c r="S614" s="37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138</v>
      </c>
      <c r="E615" s="60"/>
      <c r="F615" s="31" t="s">
        <v>242</v>
      </c>
      <c r="G615" s="31" t="s">
        <v>87</v>
      </c>
      <c r="H615" s="33" t="s">
        <v>789</v>
      </c>
      <c r="I615" s="54"/>
      <c r="J615" s="56">
        <v>44865</v>
      </c>
      <c r="K615" s="54"/>
      <c r="L615" s="31" t="s">
        <v>790</v>
      </c>
      <c r="M615" s="57">
        <v>1</v>
      </c>
      <c r="N615" s="54">
        <v>150</v>
      </c>
      <c r="O615" s="31" t="s">
        <v>482</v>
      </c>
      <c r="P615" s="52">
        <v>9900</v>
      </c>
      <c r="Q615" s="164"/>
      <c r="R615" s="35"/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1485000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1485000</v>
      </c>
      <c r="AB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5" s="58">
        <f>IF(OR(NOTA[[#This Row],[QTY]]="",NOTA[[#This Row],[HARGA SATUAN]]="",),"",NOTA[[#This Row],[QTY]]*NOTA[[#This Row],[HARGA SATUAN]])</f>
        <v>1485000</v>
      </c>
      <c r="AF615" s="56">
        <f ca="1">IF(NOTA[ID_H]="","",INDEX(NOTA[TANGGAL],MATCH(,INDIRECT(ADDRESS(ROW(NOTA[TANGGAL]),COLUMN(NOTA[TANGGAL]))&amp;":"&amp;ADDRESS(ROW(),COLUMN(NOTA[TANGGAL]))),-1)))</f>
        <v>44869</v>
      </c>
      <c r="AG615" s="52" t="str">
        <f ca="1">IF(NOTA[[#This Row],[NAMA BARANG]]="","",INDEX(NOTA[SUPPLIER],MATCH(,INDIRECT(ADDRESS(ROW(NOTA[ID]),COLUMN(NOTA[ID]))&amp;":"&amp;ADDRESS(ROW(),COLUMN(NOTA[ID]))),-1)))</f>
        <v>BINTANG SAUDARA</v>
      </c>
      <c r="AH615" s="16">
        <f ca="1">IF(NOTA[[#This Row],[ID]]="","",COUNTIF(NOTA[ID_H],NOTA[[#This Row],[ID_H]]))</f>
        <v>2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>
        <f ca="1">IF(NOTA[[#This Row],[NAMA BARANG]]="","",INDEX(NOTA[ID],MATCH(,INDIRECT(ADDRESS(ROW(NOTA[ID]),COLUMN(NOTA[ID]))&amp;":"&amp;ADDRESS(ROW(),COLUMN(NOTA[ID]))),-1)))</f>
        <v>138</v>
      </c>
      <c r="E616" s="60"/>
      <c r="F616" s="54"/>
      <c r="G616" s="54"/>
      <c r="H616" s="55"/>
      <c r="I616" s="54"/>
      <c r="J616" s="56"/>
      <c r="K616" s="54"/>
      <c r="L616" s="31" t="s">
        <v>791</v>
      </c>
      <c r="M616" s="57">
        <v>1</v>
      </c>
      <c r="N616" s="54">
        <v>300</v>
      </c>
      <c r="O616" s="31" t="s">
        <v>482</v>
      </c>
      <c r="P616" s="52">
        <v>4950</v>
      </c>
      <c r="Q616" s="164"/>
      <c r="R616" s="35"/>
      <c r="S616" s="59"/>
      <c r="T616" s="59"/>
      <c r="U616" s="58"/>
      <c r="V616" s="87"/>
      <c r="W616" s="58">
        <f>IF(NOTA[[#This Row],[HARGA/ CTN]]="",NOTA[[#This Row],[JUMLAH_H]],NOTA[[#This Row],[HARGA/ CTN]]*NOTA[[#This Row],[C]])</f>
        <v>1485000</v>
      </c>
      <c r="X616" s="58">
        <f>IF(NOTA[[#This Row],[JUMLAH]]="","",NOTA[[#This Row],[JUMLAH]]*NOTA[[#This Row],[DISC 1]])</f>
        <v>0</v>
      </c>
      <c r="Y616" s="58">
        <f>IF(NOTA[[#This Row],[JUMLAH]]="","",(NOTA[[#This Row],[JUMLAH]]-NOTA[[#This Row],[DISC 1-]])*NOTA[[#This Row],[DISC 2]])</f>
        <v>0</v>
      </c>
      <c r="Z616" s="58">
        <f>IF(NOTA[[#This Row],[JUMLAH]]="","",NOTA[[#This Row],[DISC 1-]]+NOTA[[#This Row],[DISC 2-]])</f>
        <v>0</v>
      </c>
      <c r="AA616" s="58">
        <f>IF(NOTA[[#This Row],[JUMLAH]]="","",NOTA[[#This Row],[JUMLAH]]-NOTA[[#This Row],[DISC]])</f>
        <v>1485000</v>
      </c>
      <c r="AB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16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16" s="58">
        <f>IF(OR(NOTA[[#This Row],[QTY]]="",NOTA[[#This Row],[HARGA SATUAN]]="",),"",NOTA[[#This Row],[QTY]]*NOTA[[#This Row],[HARGA SATUAN]])</f>
        <v>1485000</v>
      </c>
      <c r="AF616" s="56">
        <f ca="1">IF(NOTA[ID_H]="","",INDEX(NOTA[TANGGAL],MATCH(,INDIRECT(ADDRESS(ROW(NOTA[TANGGAL]),COLUMN(NOTA[TANGGAL]))&amp;":"&amp;ADDRESS(ROW(),COLUMN(NOTA[TANGGAL]))),-1)))</f>
        <v>44869</v>
      </c>
      <c r="AG616" s="52" t="str">
        <f ca="1">IF(NOTA[[#This Row],[NAMA BARANG]]="","",INDEX(NOTA[SUPPLIER],MATCH(,INDIRECT(ADDRESS(ROW(NOTA[ID]),COLUMN(NOTA[ID]))&amp;":"&amp;ADDRESS(ROW(),COLUMN(NOTA[ID]))),-1)))</f>
        <v>BINTANG SAUDARA</v>
      </c>
      <c r="AH616" s="16" t="str">
        <f ca="1">IF(NOTA[[#This Row],[ID]]="","",COUNTIF(NOTA[ID_H],NOTA[[#This Row],[ID_H]]))</f>
        <v/>
      </c>
      <c r="AI616" s="16">
        <f ca="1">IF(NOTA[[#This Row],[TGL.NOTA]]="",IF(NOTA[[#This Row],[SUPPLIER_H]]="","",AI615),MONTH(NOTA[[#This Row],[TGL.NOTA]]))</f>
        <v>10</v>
      </c>
      <c r="AJ616" s="16"/>
    </row>
    <row r="617" spans="1:36" ht="20.100000000000001" customHeight="1" x14ac:dyDescent="0.25">
      <c r="A6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39" t="str">
        <f>IF(NOTA[[#This Row],[ID_P]]="","",MATCH(NOTA[[#This Row],[ID_P]],[1]!B_MSK[N_ID],0))</f>
        <v/>
      </c>
      <c r="D617" s="39" t="str">
        <f ca="1">IF(NOTA[[#This Row],[NAMA BARANG]]="","",INDEX(NOTA[ID],MATCH(,INDIRECT(ADDRESS(ROW(NOTA[ID]),COLUMN(NOTA[ID]))&amp;":"&amp;ADDRESS(ROW(),COLUMN(NOTA[ID]))),-1)))</f>
        <v/>
      </c>
      <c r="E617" s="32"/>
      <c r="F617" s="31"/>
      <c r="G617" s="31"/>
      <c r="H617" s="33"/>
      <c r="I617" s="31"/>
      <c r="J617" s="34"/>
      <c r="K617" s="31"/>
      <c r="L617" s="31"/>
      <c r="M617" s="35"/>
      <c r="N617" s="31"/>
      <c r="O617" s="31"/>
      <c r="P617" s="52"/>
      <c r="Q617" s="103"/>
      <c r="R617" s="35"/>
      <c r="S617" s="59"/>
      <c r="T617" s="59"/>
      <c r="U617" s="36"/>
      <c r="V617" s="87"/>
      <c r="W617" s="36" t="str">
        <f>IF(NOTA[[#This Row],[HARGA/ CTN]]="",NOTA[[#This Row],[JUMLAH_H]],NOTA[[#This Row],[HARGA/ CTN]]*NOTA[[#This Row],[C]])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4" t="str">
        <f ca="1">IF(NOTA[ID_H]="","",INDEX(NOTA[TANGGAL],MATCH(,INDIRECT(ADDRESS(ROW(NOTA[TANGGAL]),COLUMN(NOTA[TANGGAL]))&amp;":"&amp;ADDRESS(ROW(),COLUMN(NOTA[TANGGAL]))),-1)))</f>
        <v/>
      </c>
      <c r="AG617" s="30" t="str">
        <f ca="1">IF(NOTA[[#This Row],[NAMA BARANG]]="","",INDEX(NOTA[SUPPLIER],MATCH(,INDIRECT(ADDRESS(ROW(NOTA[ID]),COLUMN(NOTA[ID]))&amp;":"&amp;ADDRESS(ROW(),COLUMN(NOTA[ID]))),-1)))</f>
        <v/>
      </c>
      <c r="AH617" s="16" t="str">
        <f ca="1">IF(NOTA[[#This Row],[ID]]="","",COUNTIF(NOTA[ID_H],NOTA[[#This Row],[ID_H]]))</f>
        <v/>
      </c>
      <c r="AI617" s="16" t="str">
        <f ca="1">IF(NOTA[[#This Row],[TGL.NOTA]]="",IF(NOTA[[#This Row],[SUPPLIER_H]]="","",AI616),MONTH(NOTA[[#This Row],[TGL.NOTA]]))</f>
        <v/>
      </c>
      <c r="AJ617" s="16"/>
    </row>
    <row r="618" spans="1:36" ht="20.100000000000001" customHeight="1" x14ac:dyDescent="0.25">
      <c r="A618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6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18" s="39" t="e">
        <f ca="1">IF(NOTA[[#This Row],[ID_P]]="","",MATCH(NOTA[[#This Row],[ID_P]],[1]!B_MSK[N_ID],0))</f>
        <v>#REF!</v>
      </c>
      <c r="D618" s="39">
        <f ca="1">IF(NOTA[[#This Row],[NAMA BARANG]]="","",INDEX(NOTA[ID],MATCH(,INDIRECT(ADDRESS(ROW(NOTA[ID]),COLUMN(NOTA[ID]))&amp;":"&amp;ADDRESS(ROW(),COLUMN(NOTA[ID]))),-1)))</f>
        <v>139</v>
      </c>
      <c r="E618" s="32"/>
      <c r="F618" s="31" t="s">
        <v>254</v>
      </c>
      <c r="G618" s="31" t="s">
        <v>87</v>
      </c>
      <c r="H618" s="33" t="s">
        <v>792</v>
      </c>
      <c r="I618" s="31"/>
      <c r="J618" s="34">
        <v>44861</v>
      </c>
      <c r="K618" s="31"/>
      <c r="L618" s="31" t="s">
        <v>258</v>
      </c>
      <c r="M618" s="35">
        <v>1</v>
      </c>
      <c r="N618" s="31">
        <v>50</v>
      </c>
      <c r="O618" s="31" t="s">
        <v>90</v>
      </c>
      <c r="P618" s="52">
        <v>17500</v>
      </c>
      <c r="Q618" s="103"/>
      <c r="R618" s="35" t="s">
        <v>257</v>
      </c>
      <c r="S618" s="59"/>
      <c r="T618" s="59"/>
      <c r="U618" s="36"/>
      <c r="V618" s="87"/>
      <c r="W618" s="36">
        <f>IF(NOTA[[#This Row],[HARGA/ CTN]]="",NOTA[[#This Row],[JUMLAH_H]],NOTA[[#This Row],[HARGA/ CTN]]*NOTA[[#This Row],[C]])</f>
        <v>875000</v>
      </c>
      <c r="X618" s="36">
        <f>IF(NOTA[[#This Row],[JUMLAH]]="","",NOTA[[#This Row],[JUMLAH]]*NOTA[[#This Row],[DISC 1]])</f>
        <v>0</v>
      </c>
      <c r="Y618" s="36">
        <f>IF(NOTA[[#This Row],[JUMLAH]]="","",(NOTA[[#This Row],[JUMLAH]]-NOTA[[#This Row],[DISC 1-]])*NOTA[[#This Row],[DISC 2]])</f>
        <v>0</v>
      </c>
      <c r="Z618" s="36">
        <f>IF(NOTA[[#This Row],[JUMLAH]]="","",NOTA[[#This Row],[DISC 1-]]+NOTA[[#This Row],[DISC 2-]])</f>
        <v>0</v>
      </c>
      <c r="AA618" s="36">
        <f>IF(NOTA[[#This Row],[JUMLAH]]="","",NOTA[[#This Row],[JUMLAH]]-NOTA[[#This Row],[DISC]])</f>
        <v>875000</v>
      </c>
      <c r="AB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18" s="36">
        <f>IF(OR(NOTA[[#This Row],[QTY]]="",NOTA[[#This Row],[HARGA SATUAN]]="",),"",NOTA[[#This Row],[QTY]]*NOTA[[#This Row],[HARGA SATUAN]])</f>
        <v>875000</v>
      </c>
      <c r="AF618" s="34">
        <f ca="1">IF(NOTA[ID_H]="","",INDEX(NOTA[TANGGAL],MATCH(,INDIRECT(ADDRESS(ROW(NOTA[TANGGAL]),COLUMN(NOTA[TANGGAL]))&amp;":"&amp;ADDRESS(ROW(),COLUMN(NOTA[TANGGAL]))),-1)))</f>
        <v>44869</v>
      </c>
      <c r="AG618" s="30" t="str">
        <f ca="1">IF(NOTA[[#This Row],[NAMA BARANG]]="","",INDEX(NOTA[SUPPLIER],MATCH(,INDIRECT(ADDRESS(ROW(NOTA[ID]),COLUMN(NOTA[ID]))&amp;":"&amp;ADDRESS(ROW(),COLUMN(NOTA[ID]))),-1)))</f>
        <v>GRAFINDO</v>
      </c>
      <c r="AH618" s="16">
        <f ca="1">IF(NOTA[[#This Row],[ID]]="","",COUNTIF(NOTA[ID_H],NOTA[[#This Row],[ID_H]]))</f>
        <v>1</v>
      </c>
      <c r="AI618" s="16">
        <f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62" t="str">
        <f>IF(NOTA[[#This Row],[ID_P]]="","",MATCH(NOTA[[#This Row],[ID_P]],[1]!B_MSK[N_ID],0))</f>
        <v/>
      </c>
      <c r="D619" s="62" t="str">
        <f ca="1">IF(NOTA[[#This Row],[NAMA BARANG]]="","",INDEX(NOTA[ID],MATCH(,INDIRECT(ADDRESS(ROW(NOTA[ID]),COLUMN(NOTA[ID]))&amp;":"&amp;ADDRESS(ROW(),COLUMN(NOTA[ID]))),-1)))</f>
        <v/>
      </c>
      <c r="E619" s="67"/>
      <c r="F619" s="48"/>
      <c r="G619" s="48"/>
      <c r="H619" s="49"/>
      <c r="I619" s="48"/>
      <c r="J619" s="50"/>
      <c r="K619" s="48"/>
      <c r="L619" s="48"/>
      <c r="M619" s="63"/>
      <c r="N619" s="48"/>
      <c r="O619" s="31"/>
      <c r="P619" s="52"/>
      <c r="Q619" s="166"/>
      <c r="R619" s="35"/>
      <c r="S619" s="59"/>
      <c r="T619" s="59"/>
      <c r="U619" s="64"/>
      <c r="V619" s="87"/>
      <c r="W619" s="64" t="str">
        <f>IF(NOTA[[#This Row],[HARGA/ CTN]]="",NOTA[[#This Row],[JUMLAH_H]],NOTA[[#This Row],[HARGA/ CTN]]*NOTA[[#This Row],[C]])</f>
        <v/>
      </c>
      <c r="X619" s="64" t="str">
        <f>IF(NOTA[[#This Row],[JUMLAH]]="","",NOTA[[#This Row],[JUMLAH]]*NOTA[[#This Row],[DISC 1]])</f>
        <v/>
      </c>
      <c r="Y619" s="64" t="str">
        <f>IF(NOTA[[#This Row],[JUMLAH]]="","",(NOTA[[#This Row],[JUMLAH]]-NOTA[[#This Row],[DISC 1-]])*NOTA[[#This Row],[DISC 2]])</f>
        <v/>
      </c>
      <c r="Z619" s="64" t="str">
        <f>IF(NOTA[[#This Row],[JUMLAH]]="","",NOTA[[#This Row],[DISC 1-]]+NOTA[[#This Row],[DISC 2-]])</f>
        <v/>
      </c>
      <c r="AA619" s="64" t="str">
        <f>IF(NOTA[[#This Row],[JUMLAH]]="","",NOTA[[#This Row],[JUMLAH]]-NOTA[[#This Row],[DISC]])</f>
        <v/>
      </c>
      <c r="AB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64" t="str">
        <f>IF(OR(NOTA[[#This Row],[QTY]]="",NOTA[[#This Row],[HARGA SATUAN]]="",),"",NOTA[[#This Row],[QTY]]*NOTA[[#This Row],[HARGA SATUAN]])</f>
        <v/>
      </c>
      <c r="AF619" s="50" t="str">
        <f ca="1">IF(NOTA[ID_H]="","",INDEX(NOTA[TANGGAL],MATCH(,INDIRECT(ADDRESS(ROW(NOTA[TANGGAL]),COLUMN(NOTA[TANGGAL]))&amp;":"&amp;ADDRESS(ROW(),COLUMN(NOTA[TANGGAL]))),-1)))</f>
        <v/>
      </c>
      <c r="AG619" s="61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61">
        <f ca="1">IF(INDIRECT(ADDRESS(ROW()-1,COLUMN(NOTA[[#Headers],[ID]])))="ID",1,IF(NOTA[[#This Row],[FAKTUR]]="","",COUNT(INDIRECT(ADDRESS(ROW(NOTA[ID]),COLUMN(NOTA[ID]))&amp;":"&amp;ADDRESS(ROW()-1,COLUMN(NOTA[ID]))))+1))</f>
        <v>140</v>
      </c>
      <c r="B62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20" s="62" t="e">
        <f ca="1">IF(NOTA[[#This Row],[ID_P]]="","",MATCH(NOTA[[#This Row],[ID_P]],[1]!B_MSK[N_ID],0))</f>
        <v>#REF!</v>
      </c>
      <c r="D620" s="62">
        <f ca="1">IF(NOTA[[#This Row],[NAMA BARANG]]="","",INDEX(NOTA[ID],MATCH(,INDIRECT(ADDRESS(ROW(NOTA[ID]),COLUMN(NOTA[ID]))&amp;":"&amp;ADDRESS(ROW(),COLUMN(NOTA[ID]))),-1)))</f>
        <v>140</v>
      </c>
      <c r="E620" s="32"/>
      <c r="F620" s="31" t="s">
        <v>254</v>
      </c>
      <c r="G620" s="31" t="s">
        <v>87</v>
      </c>
      <c r="H620" s="33" t="s">
        <v>793</v>
      </c>
      <c r="I620" s="31"/>
      <c r="J620" s="34">
        <v>44861</v>
      </c>
      <c r="K620" s="31"/>
      <c r="L620" s="31" t="s">
        <v>569</v>
      </c>
      <c r="M620" s="35">
        <v>3</v>
      </c>
      <c r="N620" s="31">
        <v>150</v>
      </c>
      <c r="O620" s="31" t="s">
        <v>90</v>
      </c>
      <c r="P620" s="30">
        <v>18250</v>
      </c>
      <c r="Q620" s="103"/>
      <c r="R620" s="35" t="s">
        <v>257</v>
      </c>
      <c r="S620" s="37"/>
      <c r="T620" s="37"/>
      <c r="U620" s="36"/>
      <c r="V620" s="87"/>
      <c r="W620" s="64">
        <f>IF(NOTA[[#This Row],[HARGA/ CTN]]="",NOTA[[#This Row],[JUMLAH_H]],NOTA[[#This Row],[HARGA/ CTN]]*NOTA[[#This Row],[C]])</f>
        <v>2737500</v>
      </c>
      <c r="X620" s="64">
        <f>IF(NOTA[[#This Row],[JUMLAH]]="","",NOTA[[#This Row],[JUMLAH]]*NOTA[[#This Row],[DISC 1]])</f>
        <v>0</v>
      </c>
      <c r="Y620" s="64">
        <f>IF(NOTA[[#This Row],[JUMLAH]]="","",(NOTA[[#This Row],[JUMLAH]]-NOTA[[#This Row],[DISC 1-]])*NOTA[[#This Row],[DISC 2]])</f>
        <v>0</v>
      </c>
      <c r="Z620" s="64">
        <f>IF(NOTA[[#This Row],[JUMLAH]]="","",NOTA[[#This Row],[DISC 1-]]+NOTA[[#This Row],[DISC 2-]])</f>
        <v>0</v>
      </c>
      <c r="AA620" s="64">
        <f>IF(NOTA[[#This Row],[JUMLAH]]="","",NOTA[[#This Row],[JUMLAH]]-NOTA[[#This Row],[DISC]])</f>
        <v>2737500</v>
      </c>
      <c r="AB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0" s="64">
        <f>IF(OR(NOTA[[#This Row],[QTY]]="",NOTA[[#This Row],[HARGA SATUAN]]="",),"",NOTA[[#This Row],[QTY]]*NOTA[[#This Row],[HARGA SATUAN]])</f>
        <v>2737500</v>
      </c>
      <c r="AF620" s="50">
        <f ca="1">IF(NOTA[ID_H]="","",INDEX(NOTA[TANGGAL],MATCH(,INDIRECT(ADDRESS(ROW(NOTA[TANGGAL]),COLUMN(NOTA[TANGGAL]))&amp;":"&amp;ADDRESS(ROW(),COLUMN(NOTA[TANGGAL]))),-1)))</f>
        <v>44869</v>
      </c>
      <c r="AG620" s="61" t="str">
        <f ca="1">IF(NOTA[[#This Row],[NAMA BARANG]]="","",INDEX(NOTA[SUPPLIER],MATCH(,INDIRECT(ADDRESS(ROW(NOTA[ID]),COLUMN(NOTA[ID]))&amp;":"&amp;ADDRESS(ROW(),COLUMN(NOTA[ID]))),-1)))</f>
        <v>GRAFINDO</v>
      </c>
      <c r="AH620" s="16">
        <f ca="1">IF(NOTA[[#This Row],[ID]]="","",COUNTIF(NOTA[ID_H],NOTA[[#This Row],[ID_H]]))</f>
        <v>2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2" t="str">
        <f>IF(NOTA[[#This Row],[ID_P]]="","",MATCH(NOTA[[#This Row],[ID_P]],[1]!B_MSK[N_ID],0))</f>
        <v/>
      </c>
      <c r="D621" s="62">
        <f ca="1">IF(NOTA[[#This Row],[NAMA BARANG]]="","",INDEX(NOTA[ID],MATCH(,INDIRECT(ADDRESS(ROW(NOTA[ID]),COLUMN(NOTA[ID]))&amp;":"&amp;ADDRESS(ROW(),COLUMN(NOTA[ID]))),-1)))</f>
        <v>140</v>
      </c>
      <c r="E621" s="32"/>
      <c r="F621" s="31"/>
      <c r="G621" s="31"/>
      <c r="H621" s="33"/>
      <c r="I621" s="31"/>
      <c r="J621" s="34"/>
      <c r="K621" s="31"/>
      <c r="L621" s="31" t="s">
        <v>567</v>
      </c>
      <c r="M621" s="35">
        <v>1</v>
      </c>
      <c r="N621" s="31">
        <v>50</v>
      </c>
      <c r="O621" s="31" t="s">
        <v>90</v>
      </c>
      <c r="P621" s="30">
        <v>18250</v>
      </c>
      <c r="Q621" s="103"/>
      <c r="R621" s="35" t="s">
        <v>257</v>
      </c>
      <c r="S621" s="37"/>
      <c r="T621" s="37"/>
      <c r="U621" s="36"/>
      <c r="V621" s="87"/>
      <c r="W621" s="64">
        <f>IF(NOTA[[#This Row],[HARGA/ CTN]]="",NOTA[[#This Row],[JUMLAH_H]],NOTA[[#This Row],[HARGA/ CTN]]*NOTA[[#This Row],[C]])</f>
        <v>912500</v>
      </c>
      <c r="X621" s="64">
        <f>IF(NOTA[[#This Row],[JUMLAH]]="","",NOTA[[#This Row],[JUMLAH]]*NOTA[[#This Row],[DISC 1]])</f>
        <v>0</v>
      </c>
      <c r="Y621" s="64">
        <f>IF(NOTA[[#This Row],[JUMLAH]]="","",(NOTA[[#This Row],[JUMLAH]]-NOTA[[#This Row],[DISC 1-]])*NOTA[[#This Row],[DISC 2]])</f>
        <v>0</v>
      </c>
      <c r="Z621" s="64">
        <f>IF(NOTA[[#This Row],[JUMLAH]]="","",NOTA[[#This Row],[DISC 1-]]+NOTA[[#This Row],[DISC 2-]])</f>
        <v>0</v>
      </c>
      <c r="AA621" s="64">
        <f>IF(NOTA[[#This Row],[JUMLAH]]="","",NOTA[[#This Row],[JUMLAH]]-NOTA[[#This Row],[DISC]])</f>
        <v>912500</v>
      </c>
      <c r="AB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21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1" s="64">
        <f>IF(OR(NOTA[[#This Row],[QTY]]="",NOTA[[#This Row],[HARGA SATUAN]]="",),"",NOTA[[#This Row],[QTY]]*NOTA[[#This Row],[HARGA SATUAN]])</f>
        <v>912500</v>
      </c>
      <c r="AF621" s="50">
        <f ca="1">IF(NOTA[ID_H]="","",INDEX(NOTA[TANGGAL],MATCH(,INDIRECT(ADDRESS(ROW(NOTA[TANGGAL]),COLUMN(NOTA[TANGGAL]))&amp;":"&amp;ADDRESS(ROW(),COLUMN(NOTA[TANGGAL]))),-1)))</f>
        <v>44869</v>
      </c>
      <c r="AG621" s="61" t="str">
        <f ca="1">IF(NOTA[[#This Row],[NAMA BARANG]]="","",INDEX(NOTA[SUPPLIER],MATCH(,INDIRECT(ADDRESS(ROW(NOTA[ID]),COLUMN(NOTA[ID]))&amp;":"&amp;ADDRESS(ROW(),COLUMN(NOTA[ID]))),-1)))</f>
        <v>GRAFINDO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2" t="str">
        <f>IF(NOTA[[#This Row],[ID_P]]="","",MATCH(NOTA[[#This Row],[ID_P]],[1]!B_MSK[N_ID],0))</f>
        <v/>
      </c>
      <c r="D622" s="62" t="str">
        <f ca="1">IF(NOTA[[#This Row],[NAMA BARANG]]="","",INDEX(NOTA[ID],MATCH(,INDIRECT(ADDRESS(ROW(NOTA[ID]),COLUMN(NOTA[ID]))&amp;":"&amp;ADDRESS(ROW(),COLUMN(NOTA[ID]))),-1)))</f>
        <v/>
      </c>
      <c r="E622" s="32"/>
      <c r="F622" s="31"/>
      <c r="G622" s="31"/>
      <c r="H622" s="33"/>
      <c r="I622" s="31"/>
      <c r="J622" s="34"/>
      <c r="K622" s="31"/>
      <c r="L622" s="31"/>
      <c r="M622" s="35"/>
      <c r="N622" s="31"/>
      <c r="O622" s="31"/>
      <c r="P622" s="30"/>
      <c r="Q622" s="103"/>
      <c r="R622" s="35"/>
      <c r="S622" s="37"/>
      <c r="T622" s="37"/>
      <c r="U622" s="36"/>
      <c r="V622" s="87"/>
      <c r="W622" s="64" t="str">
        <f>IF(NOTA[[#This Row],[HARGA/ CTN]]="",NOTA[[#This Row],[JUMLAH_H]],NOTA[[#This Row],[HARGA/ CTN]]*NOTA[[#This Row],[C]])</f>
        <v/>
      </c>
      <c r="X622" s="64" t="str">
        <f>IF(NOTA[[#This Row],[JUMLAH]]="","",NOTA[[#This Row],[JUMLAH]]*NOTA[[#This Row],[DISC 1]])</f>
        <v/>
      </c>
      <c r="Y622" s="64" t="str">
        <f>IF(NOTA[[#This Row],[JUMLAH]]="","",(NOTA[[#This Row],[JUMLAH]]-NOTA[[#This Row],[DISC 1-]])*NOTA[[#This Row],[DISC 2]])</f>
        <v/>
      </c>
      <c r="Z622" s="64" t="str">
        <f>IF(NOTA[[#This Row],[JUMLAH]]="","",NOTA[[#This Row],[DISC 1-]]+NOTA[[#This Row],[DISC 2-]])</f>
        <v/>
      </c>
      <c r="AA622" s="64" t="str">
        <f>IF(NOTA[[#This Row],[JUMLAH]]="","",NOTA[[#This Row],[JUMLAH]]-NOTA[[#This Row],[DISC]])</f>
        <v/>
      </c>
      <c r="AB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64" t="str">
        <f>IF(OR(NOTA[[#This Row],[QTY]]="",NOTA[[#This Row],[HARGA SATUAN]]="",),"",NOTA[[#This Row],[QTY]]*NOTA[[#This Row],[HARGA SATUAN]])</f>
        <v/>
      </c>
      <c r="AF622" s="50" t="str">
        <f ca="1">IF(NOTA[ID_H]="","",INDEX(NOTA[TANGGAL],MATCH(,INDIRECT(ADDRESS(ROW(NOTA[TANGGAL]),COLUMN(NOTA[TANGGAL]))&amp;":"&amp;ADDRESS(ROW(),COLUMN(NOTA[TANGGAL]))),-1)))</f>
        <v/>
      </c>
      <c r="AG622" s="61" t="str">
        <f ca="1">IF(NOTA[[#This Row],[NAMA BARANG]]="","",INDEX(NOTA[SUPPLIER],MATCH(,INDIRECT(ADDRESS(ROW(NOTA[ID]),COLUMN(NOTA[ID]))&amp;":"&amp;ADDRESS(ROW(),COLUMN(NOTA[ID]))),-1)))</f>
        <v/>
      </c>
      <c r="AH622" s="16" t="str">
        <f ca="1">IF(NOTA[[#This Row],[ID]]="","",COUNTIF(NOTA[ID_H],NOTA[[#This Row],[ID_H]]))</f>
        <v/>
      </c>
      <c r="AI622" s="16" t="str">
        <f ca="1">IF(NOTA[[#This Row],[TGL.NOTA]]="",IF(NOTA[[#This Row],[SUPPLIER_H]]="","",AI621),MONTH(NOTA[[#This Row],[TGL.NOTA]]))</f>
        <v/>
      </c>
      <c r="AJ622" s="16"/>
    </row>
    <row r="623" spans="1:36" ht="20.100000000000001" customHeight="1" x14ac:dyDescent="0.25">
      <c r="A623" s="61">
        <f ca="1">IF(INDIRECT(ADDRESS(ROW()-1,COLUMN(NOTA[[#Headers],[ID]])))="ID",1,IF(NOTA[[#This Row],[FAKTUR]]="","",COUNT(INDIRECT(ADDRESS(ROW(NOTA[ID]),COLUMN(NOTA[ID]))&amp;":"&amp;ADDRESS(ROW()-1,COLUMN(NOTA[ID]))))+1))</f>
        <v>141</v>
      </c>
      <c r="B62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23" s="62" t="e">
        <f ca="1">IF(NOTA[[#This Row],[ID_P]]="","",MATCH(NOTA[[#This Row],[ID_P]],[1]!B_MSK[N_ID],0))</f>
        <v>#REF!</v>
      </c>
      <c r="D623" s="62">
        <f ca="1">IF(NOTA[[#This Row],[NAMA BARANG]]="","",INDEX(NOTA[ID],MATCH(,INDIRECT(ADDRESS(ROW(NOTA[ID]),COLUMN(NOTA[ID]))&amp;":"&amp;ADDRESS(ROW(),COLUMN(NOTA[ID]))),-1)))</f>
        <v>141</v>
      </c>
      <c r="E623" s="32"/>
      <c r="F623" s="31" t="s">
        <v>254</v>
      </c>
      <c r="G623" s="31" t="s">
        <v>87</v>
      </c>
      <c r="H623" s="33" t="s">
        <v>794</v>
      </c>
      <c r="I623" s="31"/>
      <c r="J623" s="34">
        <v>44861</v>
      </c>
      <c r="K623" s="31"/>
      <c r="L623" s="31" t="s">
        <v>305</v>
      </c>
      <c r="M623" s="35">
        <f>2050/50</f>
        <v>41</v>
      </c>
      <c r="N623" s="31">
        <v>2050</v>
      </c>
      <c r="O623" s="31" t="s">
        <v>90</v>
      </c>
      <c r="P623" s="30">
        <v>18250</v>
      </c>
      <c r="Q623" s="103"/>
      <c r="R623" s="35" t="s">
        <v>257</v>
      </c>
      <c r="S623" s="37"/>
      <c r="T623" s="37"/>
      <c r="U623" s="36">
        <v>1870625</v>
      </c>
      <c r="V623" s="87" t="s">
        <v>795</v>
      </c>
      <c r="W623" s="64">
        <f>IF(NOTA[[#This Row],[HARGA/ CTN]]="",NOTA[[#This Row],[JUMLAH_H]],NOTA[[#This Row],[HARGA/ CTN]]*NOTA[[#This Row],[C]])</f>
        <v>37412500</v>
      </c>
      <c r="X623" s="64">
        <f>IF(NOTA[[#This Row],[JUMLAH]]="","",NOTA[[#This Row],[JUMLAH]]*NOTA[[#This Row],[DISC 1]])</f>
        <v>0</v>
      </c>
      <c r="Y623" s="64">
        <f>IF(NOTA[[#This Row],[JUMLAH]]="","",(NOTA[[#This Row],[JUMLAH]]-NOTA[[#This Row],[DISC 1-]])*NOTA[[#This Row],[DISC 2]])</f>
        <v>0</v>
      </c>
      <c r="Z623" s="64">
        <f>IF(NOTA[[#This Row],[JUMLAH]]="","",NOTA[[#This Row],[DISC 1-]]+NOTA[[#This Row],[DISC 2-]])</f>
        <v>0</v>
      </c>
      <c r="AA623" s="64">
        <f>IF(NOTA[[#This Row],[JUMLAH]]="","",NOTA[[#This Row],[JUMLAH]]-NOTA[[#This Row],[DISC]])</f>
        <v>37412500</v>
      </c>
      <c r="AB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2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23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23" s="64">
        <f>IF(OR(NOTA[[#This Row],[QTY]]="",NOTA[[#This Row],[HARGA SATUAN]]="",),"",NOTA[[#This Row],[QTY]]*NOTA[[#This Row],[HARGA SATUAN]])</f>
        <v>37412500</v>
      </c>
      <c r="AF623" s="50">
        <f ca="1">IF(NOTA[ID_H]="","",INDEX(NOTA[TANGGAL],MATCH(,INDIRECT(ADDRESS(ROW(NOTA[TANGGAL]),COLUMN(NOTA[TANGGAL]))&amp;":"&amp;ADDRESS(ROW(),COLUMN(NOTA[TANGGAL]))),-1)))</f>
        <v>44869</v>
      </c>
      <c r="AG623" s="61" t="str">
        <f ca="1">IF(NOTA[[#This Row],[NAMA BARANG]]="","",INDEX(NOTA[SUPPLIER],MATCH(,INDIRECT(ADDRESS(ROW(NOTA[ID]),COLUMN(NOTA[ID]))&amp;":"&amp;ADDRESS(ROW(),COLUMN(NOTA[ID]))),-1)))</f>
        <v>GRAFINDO</v>
      </c>
      <c r="AH623" s="16">
        <f ca="1">IF(NOTA[[#This Row],[ID]]="","",COUNTIF(NOTA[ID_H],NOTA[[#This Row],[ID_H]]))</f>
        <v>1</v>
      </c>
      <c r="AI623" s="16">
        <f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2" t="str">
        <f>IF(NOTA[[#This Row],[ID_P]]="","",MATCH(NOTA[[#This Row],[ID_P]],[1]!B_MSK[N_ID],0))</f>
        <v/>
      </c>
      <c r="D624" s="62" t="str">
        <f ca="1">IF(NOTA[[#This Row],[NAMA BARANG]]="","",INDEX(NOTA[ID],MATCH(,INDIRECT(ADDRESS(ROW(NOTA[ID]),COLUMN(NOTA[ID]))&amp;":"&amp;ADDRESS(ROW(),COLUMN(NOTA[ID]))),-1)))</f>
        <v/>
      </c>
      <c r="E624" s="32"/>
      <c r="F624" s="31"/>
      <c r="G624" s="31"/>
      <c r="H624" s="33"/>
      <c r="I624" s="31"/>
      <c r="J624" s="34"/>
      <c r="K624" s="31"/>
      <c r="L624" s="31"/>
      <c r="M624" s="35"/>
      <c r="N624" s="31"/>
      <c r="O624" s="31"/>
      <c r="P624" s="30"/>
      <c r="Q624" s="103"/>
      <c r="R624" s="35"/>
      <c r="S624" s="37"/>
      <c r="T624" s="37"/>
      <c r="U624" s="36"/>
      <c r="V624" s="87"/>
      <c r="W624" s="64" t="str">
        <f>IF(NOTA[[#This Row],[HARGA/ CTN]]="",NOTA[[#This Row],[JUMLAH_H]],NOTA[[#This Row],[HARGA/ CTN]]*NOTA[[#This Row],[C]])</f>
        <v/>
      </c>
      <c r="X624" s="64" t="str">
        <f>IF(NOTA[[#This Row],[JUMLAH]]="","",NOTA[[#This Row],[JUMLAH]]*NOTA[[#This Row],[DISC 1]])</f>
        <v/>
      </c>
      <c r="Y624" s="64" t="str">
        <f>IF(NOTA[[#This Row],[JUMLAH]]="","",(NOTA[[#This Row],[JUMLAH]]-NOTA[[#This Row],[DISC 1-]])*NOTA[[#This Row],[DISC 2]])</f>
        <v/>
      </c>
      <c r="Z624" s="64" t="str">
        <f>IF(NOTA[[#This Row],[JUMLAH]]="","",NOTA[[#This Row],[DISC 1-]]+NOTA[[#This Row],[DISC 2-]])</f>
        <v/>
      </c>
      <c r="AA624" s="64" t="str">
        <f>IF(NOTA[[#This Row],[JUMLAH]]="","",NOTA[[#This Row],[JUMLAH]]-NOTA[[#This Row],[DISC]])</f>
        <v/>
      </c>
      <c r="AB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64" t="str">
        <f>IF(OR(NOTA[[#This Row],[QTY]]="",NOTA[[#This Row],[HARGA SATUAN]]="",),"",NOTA[[#This Row],[QTY]]*NOTA[[#This Row],[HARGA SATUAN]])</f>
        <v/>
      </c>
      <c r="AF624" s="50" t="str">
        <f ca="1">IF(NOTA[ID_H]="","",INDEX(NOTA[TANGGAL],MATCH(,INDIRECT(ADDRESS(ROW(NOTA[TANGGAL]),COLUMN(NOTA[TANGGAL]))&amp;":"&amp;ADDRESS(ROW(),COLUMN(NOTA[TANGGAL]))),-1)))</f>
        <v/>
      </c>
      <c r="AG624" s="61" t="str">
        <f ca="1">IF(NOTA[[#This Row],[NAMA BARANG]]="","",INDEX(NOTA[SUPPLIER],MATCH(,INDIRECT(ADDRESS(ROW(NOTA[ID]),COLUMN(NOTA[ID]))&amp;":"&amp;ADDRESS(ROW(),COLUMN(NOTA[ID]))),-1)))</f>
        <v/>
      </c>
      <c r="AH624" s="16" t="str">
        <f ca="1">IF(NOTA[[#This Row],[ID]]="","",COUNTIF(NOTA[ID_H],NOTA[[#This Row],[ID_H]]))</f>
        <v/>
      </c>
      <c r="AI624" s="16" t="str">
        <f ca="1">IF(NOTA[[#This Row],[TGL.NOTA]]="",IF(NOTA[[#This Row],[SUPPLIER_H]]="","",AI623),MONTH(NOTA[[#This Row],[TGL.NOTA]]))</f>
        <v/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 t="str">
        <f ca="1">IF(NOTA[[#This Row],[NAMA BARANG]]="","",INDEX(NOTA[ID],MATCH(,INDIRECT(ADDRESS(ROW(NOTA[ID]),COLUMN(NOTA[ID]))&amp;":"&amp;ADDRESS(ROW(),COLUMN(NOTA[ID]))),-1)))</f>
        <v/>
      </c>
      <c r="E625" s="60"/>
      <c r="F625" s="31"/>
      <c r="G625" s="31"/>
      <c r="H625" s="33"/>
      <c r="I625" s="54"/>
      <c r="J625" s="56"/>
      <c r="K625" s="54"/>
      <c r="L625" s="31"/>
      <c r="M625" s="57"/>
      <c r="N625" s="54"/>
      <c r="O625" s="31"/>
      <c r="P625" s="52"/>
      <c r="Q625" s="164"/>
      <c r="R625" s="35"/>
      <c r="S625" s="59"/>
      <c r="T625" s="59"/>
      <c r="U625" s="58"/>
      <c r="V625" s="87"/>
      <c r="W625" s="58" t="str">
        <f>IF(NOTA[[#This Row],[HARGA/ CTN]]="",NOTA[[#This Row],[JUMLAH_H]],NOTA[[#This Row],[HARGA/ CTN]]*NOTA[[#This Row],[C]])</f>
        <v/>
      </c>
      <c r="X625" s="58" t="str">
        <f>IF(NOTA[[#This Row],[JUMLAH]]="","",NOTA[[#This Row],[JUMLAH]]*NOTA[[#This Row],[DISC 1]])</f>
        <v/>
      </c>
      <c r="Y625" s="58" t="str">
        <f>IF(NOTA[[#This Row],[JUMLAH]]="","",(NOTA[[#This Row],[JUMLAH]]-NOTA[[#This Row],[DISC 1-]])*NOTA[[#This Row],[DISC 2]])</f>
        <v/>
      </c>
      <c r="Z625" s="58" t="str">
        <f>IF(NOTA[[#This Row],[JUMLAH]]="","",NOTA[[#This Row],[DISC 1-]]+NOTA[[#This Row],[DISC 2-]])</f>
        <v/>
      </c>
      <c r="AA625" s="58" t="str">
        <f>IF(NOTA[[#This Row],[JUMLAH]]="","",NOTA[[#This Row],[JUMLAH]]-NOTA[[#This Row],[DISC]])</f>
        <v/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8" t="str">
        <f>IF(OR(NOTA[[#This Row],[QTY]]="",NOTA[[#This Row],[HARGA SATUAN]]="",),"",NOTA[[#This Row],[QTY]]*NOTA[[#This Row],[HARGA SATUAN]])</f>
        <v/>
      </c>
      <c r="AF625" s="56" t="str">
        <f ca="1">IF(NOTA[ID_H]="","",INDEX(NOTA[TANGGAL],MATCH(,INDIRECT(ADDRESS(ROW(NOTA[TANGGAL]),COLUMN(NOTA[TANGGAL]))&amp;":"&amp;ADDRESS(ROW(),COLUMN(NOTA[TANGGAL]))),-1)))</f>
        <v/>
      </c>
      <c r="AG625" s="52" t="str">
        <f ca="1">IF(NOTA[[#This Row],[NAMA BARANG]]="","",INDEX(NOTA[SUPPLIER],MATCH(,INDIRECT(ADDRESS(ROW(NOTA[ID]),COLUMN(NOTA[ID]))&amp;":"&amp;ADDRESS(ROW(),COLUMN(NOTA[ID]))),-1)))</f>
        <v/>
      </c>
      <c r="AH625" s="16" t="str">
        <f ca="1">IF(NOTA[[#This Row],[ID]]="","",COUNTIF(NOTA[ID_H],NOTA[[#This Row],[ID_H]]))</f>
        <v/>
      </c>
      <c r="AI625" s="16" t="str">
        <f ca="1">IF(NOTA[[#This Row],[TGL.NOTA]]="",IF(NOTA[[#This Row],[SUPPLIER_H]]="","",#REF!),MONTH(NOTA[[#This Row],[TGL.NOTA]]))</f>
        <v/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 t="str">
        <f ca="1">IF(NOTA[[#This Row],[NAMA BARANG]]="","",INDEX(NOTA[ID],MATCH(,INDIRECT(ADDRESS(ROW(NOTA[ID]),COLUMN(NOTA[ID]))&amp;":"&amp;ADDRESS(ROW(),COLUMN(NOTA[ID]))),-1)))</f>
        <v/>
      </c>
      <c r="E626" s="60"/>
      <c r="F626" s="54"/>
      <c r="G626" s="54"/>
      <c r="H626" s="55"/>
      <c r="I626" s="54"/>
      <c r="J626" s="56"/>
      <c r="K626" s="54"/>
      <c r="L626" s="31"/>
      <c r="M626" s="57"/>
      <c r="N626" s="54"/>
      <c r="O626" s="31"/>
      <c r="P626" s="52"/>
      <c r="Q626" s="164"/>
      <c r="R626" s="35"/>
      <c r="S626" s="59"/>
      <c r="T626" s="59"/>
      <c r="U626" s="58"/>
      <c r="V626" s="87"/>
      <c r="W626" s="58" t="str">
        <f>IF(NOTA[[#This Row],[HARGA/ CTN]]="",NOTA[[#This Row],[JUMLAH_H]],NOTA[[#This Row],[HARGA/ CTN]]*NOTA[[#This Row],[C]])</f>
        <v/>
      </c>
      <c r="X626" s="58" t="str">
        <f>IF(NOTA[[#This Row],[JUMLAH]]="","",NOTA[[#This Row],[JUMLAH]]*NOTA[[#This Row],[DISC 1]])</f>
        <v/>
      </c>
      <c r="Y626" s="58" t="str">
        <f>IF(NOTA[[#This Row],[JUMLAH]]="","",(NOTA[[#This Row],[JUMLAH]]-NOTA[[#This Row],[DISC 1-]])*NOTA[[#This Row],[DISC 2]])</f>
        <v/>
      </c>
      <c r="Z626" s="58" t="str">
        <f>IF(NOTA[[#This Row],[JUMLAH]]="","",NOTA[[#This Row],[DISC 1-]]+NOTA[[#This Row],[DISC 2-]])</f>
        <v/>
      </c>
      <c r="AA626" s="58" t="str">
        <f>IF(NOTA[[#This Row],[JUMLAH]]="","",NOTA[[#This Row],[JUMLAH]]-NOTA[[#This Row],[DISC]])</f>
        <v/>
      </c>
      <c r="AB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8" t="str">
        <f>IF(OR(NOTA[[#This Row],[QTY]]="",NOTA[[#This Row],[HARGA SATUAN]]="",),"",NOTA[[#This Row],[QTY]]*NOTA[[#This Row],[HARGA SATUAN]])</f>
        <v/>
      </c>
      <c r="AF626" s="56" t="str">
        <f ca="1">IF(NOTA[ID_H]="","",INDEX(NOTA[TANGGAL],MATCH(,INDIRECT(ADDRESS(ROW(NOTA[TANGGAL]),COLUMN(NOTA[TANGGAL]))&amp;":"&amp;ADDRESS(ROW(),COLUMN(NOTA[TANGGAL]))),-1)))</f>
        <v/>
      </c>
      <c r="AG626" s="52" t="str">
        <f ca="1">IF(NOTA[[#This Row],[NAMA BARANG]]="","",INDEX(NOTA[SUPPLIER],MATCH(,INDIRECT(ADDRESS(ROW(NOTA[ID]),COLUMN(NOTA[ID]))&amp;":"&amp;ADDRESS(ROW(),COLUMN(NOTA[ID]))),-1)))</f>
        <v/>
      </c>
      <c r="AH626" s="16" t="str">
        <f ca="1">IF(NOTA[[#This Row],[ID]]="","",COUNTIF(NOTA[ID_H],NOTA[[#This Row],[ID_H]]))</f>
        <v/>
      </c>
      <c r="AI626" s="16" t="str">
        <f ca="1">IF(NOTA[[#This Row],[TGL.NOTA]]="",IF(NOTA[[#This Row],[SUPPLIER_H]]="","",AI625),MONTH(NOTA[[#This Row],[TGL.NOTA]]))</f>
        <v/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31"/>
      <c r="G627" s="31"/>
      <c r="H627" s="33"/>
      <c r="I627" s="31"/>
      <c r="J627" s="56"/>
      <c r="K627" s="54"/>
      <c r="L627" s="31"/>
      <c r="M627" s="57"/>
      <c r="N627" s="54"/>
      <c r="O627" s="31"/>
      <c r="P627" s="52"/>
      <c r="Q627" s="164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3" t="str">
        <f>IF(NOTA[[#This Row],[ID_P]]="","",MATCH(NOTA[[#This Row],[ID_P]],[1]!B_MSK[N_ID],0))</f>
        <v/>
      </c>
      <c r="D628" s="53" t="str">
        <f ca="1">IF(NOTA[[#This Row],[NAMA BARANG]]="","",INDEX(NOTA[ID],MATCH(,INDIRECT(ADDRESS(ROW(NOTA[ID]),COLUMN(NOTA[ID]))&amp;":"&amp;ADDRESS(ROW(),COLUMN(NOTA[ID]))),-1)))</f>
        <v/>
      </c>
      <c r="E628" s="60"/>
      <c r="F628" s="54"/>
      <c r="G628" s="54"/>
      <c r="H628" s="55"/>
      <c r="I628" s="31"/>
      <c r="J628" s="56"/>
      <c r="K628" s="54"/>
      <c r="L628" s="31"/>
      <c r="M628" s="57"/>
      <c r="N628" s="54"/>
      <c r="O628" s="54"/>
      <c r="P628" s="52"/>
      <c r="Q628" s="164"/>
      <c r="R628" s="35"/>
      <c r="S628" s="59"/>
      <c r="T628" s="59"/>
      <c r="U628" s="58"/>
      <c r="V628" s="87"/>
      <c r="W628" s="58" t="str">
        <f>IF(NOTA[[#This Row],[HARGA/ CTN]]="",NOTA[[#This Row],[JUMLAH_H]],NOTA[[#This Row],[HARGA/ CTN]]*NOTA[[#This Row],[C]])</f>
        <v/>
      </c>
      <c r="X628" s="58" t="str">
        <f>IF(NOTA[[#This Row],[JUMLAH]]="","",NOTA[[#This Row],[JUMLAH]]*NOTA[[#This Row],[DISC 1]])</f>
        <v/>
      </c>
      <c r="Y628" s="58" t="str">
        <f>IF(NOTA[[#This Row],[JUMLAH]]="","",(NOTA[[#This Row],[JUMLAH]]-NOTA[[#This Row],[DISC 1-]])*NOTA[[#This Row],[DISC 2]])</f>
        <v/>
      </c>
      <c r="Z628" s="58" t="str">
        <f>IF(NOTA[[#This Row],[JUMLAH]]="","",NOTA[[#This Row],[DISC 1-]]+NOTA[[#This Row],[DISC 2-]])</f>
        <v/>
      </c>
      <c r="AA628" s="58" t="str">
        <f>IF(NOTA[[#This Row],[JUMLAH]]="","",NOTA[[#This Row],[JUMLAH]]-NOTA[[#This Row],[DISC]])</f>
        <v/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8" t="str">
        <f>IF(OR(NOTA[[#This Row],[QTY]]="",NOTA[[#This Row],[HARGA SATUAN]]="",),"",NOTA[[#This Row],[QTY]]*NOTA[[#This Row],[HARGA SATUAN]])</f>
        <v/>
      </c>
      <c r="AF628" s="56" t="str">
        <f ca="1">IF(NOTA[ID_H]="","",INDEX(NOTA[TANGGAL],MATCH(,INDIRECT(ADDRESS(ROW(NOTA[TANGGAL]),COLUMN(NOTA[TANGGAL]))&amp;":"&amp;ADDRESS(ROW(),COLUMN(NOTA[TANGGAL]))),-1)))</f>
        <v/>
      </c>
      <c r="AG628" s="52" t="str">
        <f ca="1">IF(NOTA[[#This Row],[NAMA BARANG]]="","",INDEX(NOTA[SUPPLIER],MATCH(,INDIRECT(ADDRESS(ROW(NOTA[ID]),COLUMN(NOTA[ID]))&amp;":"&amp;ADDRESS(ROW(),COLUMN(NOTA[ID]))),-1)))</f>
        <v/>
      </c>
      <c r="AH628" s="16" t="str">
        <f ca="1">IF(NOTA[[#This Row],[ID]]="","",COUNTIF(NOTA[ID_H],NOTA[[#This Row],[ID_H]]))</f>
        <v/>
      </c>
      <c r="AI628" s="16" t="str">
        <f ca="1">IF(NOTA[[#This Row],[TGL.NOTA]]="",IF(NOTA[[#This Row],[SUPPLIER_H]]="","",AI627),MONTH(NOTA[[#This Row],[TGL.NOTA]]))</f>
        <v/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 t="str">
        <f ca="1">IF(NOTA[[#This Row],[NAMA BARANG]]="","",INDEX(NOTA[ID],MATCH(,INDIRECT(ADDRESS(ROW(NOTA[ID]),COLUMN(NOTA[ID]))&amp;":"&amp;ADDRESS(ROW(),COLUMN(NOTA[ID]))),-1)))</f>
        <v/>
      </c>
      <c r="E629" s="60"/>
      <c r="F629" s="31"/>
      <c r="G629" s="31"/>
      <c r="H629" s="33"/>
      <c r="I629" s="54"/>
      <c r="J629" s="56"/>
      <c r="K629" s="54"/>
      <c r="L629" s="31"/>
      <c r="M629" s="57"/>
      <c r="N629" s="54"/>
      <c r="O629" s="54"/>
      <c r="P629" s="52"/>
      <c r="Q629" s="164"/>
      <c r="R629" s="35"/>
      <c r="S629" s="59"/>
      <c r="T629" s="59"/>
      <c r="U629" s="58"/>
      <c r="V629" s="87"/>
      <c r="W629" s="58" t="str">
        <f>IF(NOTA[[#This Row],[HARGA/ CTN]]="",NOTA[[#This Row],[JUMLAH_H]],NOTA[[#This Row],[HARGA/ CTN]]*NOTA[[#This Row],[C]])</f>
        <v/>
      </c>
      <c r="X629" s="58" t="str">
        <f>IF(NOTA[[#This Row],[JUMLAH]]="","",NOTA[[#This Row],[JUMLAH]]*NOTA[[#This Row],[DISC 1]])</f>
        <v/>
      </c>
      <c r="Y629" s="58" t="str">
        <f>IF(NOTA[[#This Row],[JUMLAH]]="","",(NOTA[[#This Row],[JUMLAH]]-NOTA[[#This Row],[DISC 1-]])*NOTA[[#This Row],[DISC 2]])</f>
        <v/>
      </c>
      <c r="Z629" s="58" t="str">
        <f>IF(NOTA[[#This Row],[JUMLAH]]="","",NOTA[[#This Row],[DISC 1-]]+NOTA[[#This Row],[DISC 2-]])</f>
        <v/>
      </c>
      <c r="AA629" s="58" t="str">
        <f>IF(NOTA[[#This Row],[JUMLAH]]="","",NOTA[[#This Row],[JUMLAH]]-NOTA[[#This Row],[DISC]])</f>
        <v/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8" t="str">
        <f>IF(OR(NOTA[[#This Row],[QTY]]="",NOTA[[#This Row],[HARGA SATUAN]]="",),"",NOTA[[#This Row],[QTY]]*NOTA[[#This Row],[HARGA SATUAN]])</f>
        <v/>
      </c>
      <c r="AF629" s="56" t="str">
        <f ca="1">IF(NOTA[ID_H]="","",INDEX(NOTA[TANGGAL],MATCH(,INDIRECT(ADDRESS(ROW(NOTA[TANGGAL]),COLUMN(NOTA[TANGGAL]))&amp;":"&amp;ADDRESS(ROW(),COLUMN(NOTA[TANGGAL]))),-1)))</f>
        <v/>
      </c>
      <c r="AG629" s="52" t="str">
        <f ca="1">IF(NOTA[[#This Row],[NAMA BARANG]]="","",INDEX(NOTA[SUPPLIER],MATCH(,INDIRECT(ADDRESS(ROW(NOTA[ID]),COLUMN(NOTA[ID]))&amp;":"&amp;ADDRESS(ROW(),COLUMN(NOTA[ID]))),-1)))</f>
        <v/>
      </c>
      <c r="AH629" s="16" t="str">
        <f ca="1">IF(NOTA[[#This Row],[ID]]="","",COUNTIF(NOTA[ID_H],NOTA[[#This Row],[ID_H]]))</f>
        <v/>
      </c>
      <c r="AI629" s="16" t="str">
        <f ca="1">IF(NOTA[[#This Row],[TGL.NOTA]]="",IF(NOTA[[#This Row],[SUPPLIER_H]]="","",AI628),MONTH(NOTA[[#This Row],[TGL.NOTA]]))</f>
        <v/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 t="str">
        <f ca="1">IF(NOTA[[#This Row],[NAMA BARANG]]="","",INDEX(NOTA[ID],MATCH(,INDIRECT(ADDRESS(ROW(NOTA[ID]),COLUMN(NOTA[ID]))&amp;":"&amp;ADDRESS(ROW(),COLUMN(NOTA[ID]))),-1)))</f>
        <v/>
      </c>
      <c r="E630" s="60"/>
      <c r="F630" s="135"/>
      <c r="G630" s="135"/>
      <c r="H630" s="136"/>
      <c r="I630" s="135"/>
      <c r="J630" s="137"/>
      <c r="K630" s="135"/>
      <c r="L630" s="135"/>
      <c r="M630" s="138"/>
      <c r="N630" s="135"/>
      <c r="O630" s="135"/>
      <c r="P630" s="139"/>
      <c r="Q630" s="167"/>
      <c r="R630" s="140"/>
      <c r="S630" s="141"/>
      <c r="T630" s="59"/>
      <c r="U630" s="58"/>
      <c r="V630" s="87"/>
      <c r="W630" s="58" t="str">
        <f>IF(NOTA[[#This Row],[HARGA/ CTN]]="",NOTA[[#This Row],[JUMLAH_H]],NOTA[[#This Row],[HARGA/ CTN]]*NOTA[[#This Row],[C]])</f>
        <v/>
      </c>
      <c r="X630" s="58" t="str">
        <f>IF(NOTA[[#This Row],[JUMLAH]]="","",NOTA[[#This Row],[JUMLAH]]*NOTA[[#This Row],[DISC 1]])</f>
        <v/>
      </c>
      <c r="Y630" s="58" t="str">
        <f>IF(NOTA[[#This Row],[JUMLAH]]="","",(NOTA[[#This Row],[JUMLAH]]-NOTA[[#This Row],[DISC 1-]])*NOTA[[#This Row],[DISC 2]])</f>
        <v/>
      </c>
      <c r="Z630" s="58" t="str">
        <f>IF(NOTA[[#This Row],[JUMLAH]]="","",NOTA[[#This Row],[DISC 1-]]+NOTA[[#This Row],[DISC 2-]])</f>
        <v/>
      </c>
      <c r="AA630" s="58" t="str">
        <f>IF(NOTA[[#This Row],[JUMLAH]]="","",NOTA[[#This Row],[JUMLAH]]-NOTA[[#This Row],[DISC]])</f>
        <v/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8" t="str">
        <f>IF(OR(NOTA[[#This Row],[QTY]]="",NOTA[[#This Row],[HARGA SATUAN]]="",),"",NOTA[[#This Row],[QTY]]*NOTA[[#This Row],[HARGA SATUAN]])</f>
        <v/>
      </c>
      <c r="AF630" s="56" t="str">
        <f ca="1">IF(NOTA[ID_H]="","",INDEX(NOTA[TANGGAL],MATCH(,INDIRECT(ADDRESS(ROW(NOTA[TANGGAL]),COLUMN(NOTA[TANGGAL]))&amp;":"&amp;ADDRESS(ROW(),COLUMN(NOTA[TANGGAL]))),-1)))</f>
        <v/>
      </c>
      <c r="AG630" s="52" t="str">
        <f ca="1">IF(NOTA[[#This Row],[NAMA BARANG]]="","",INDEX(NOTA[SUPPLIER],MATCH(,INDIRECT(ADDRESS(ROW(NOTA[ID]),COLUMN(NOTA[ID]))&amp;":"&amp;ADDRESS(ROW(),COLUMN(NOTA[ID]))),-1)))</f>
        <v/>
      </c>
      <c r="AH630" s="16" t="str">
        <f ca="1">IF(NOTA[[#This Row],[ID]]="","",COUNTIF(NOTA[ID_H],NOTA[[#This Row],[ID_H]]))</f>
        <v/>
      </c>
      <c r="AI630" s="16" t="str">
        <f ca="1">IF(NOTA[[#This Row],[TGL.NOTA]]="",IF(NOTA[[#This Row],[SUPPLIER_H]]="","",AI629),MONTH(NOTA[[#This Row],[TGL.NOTA]]))</f>
        <v/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 t="str">
        <f ca="1">IF(NOTA[[#This Row],[NAMA BARANG]]="","",INDEX(NOTA[ID],MATCH(,INDIRECT(ADDRESS(ROW(NOTA[ID]),COLUMN(NOTA[ID]))&amp;":"&amp;ADDRESS(ROW(),COLUMN(NOTA[ID]))),-1)))</f>
        <v/>
      </c>
      <c r="E631" s="60"/>
      <c r="F631" s="31"/>
      <c r="G631" s="31"/>
      <c r="H631" s="33"/>
      <c r="I631" s="31"/>
      <c r="J631" s="56"/>
      <c r="K631" s="54"/>
      <c r="L631" s="31"/>
      <c r="M631" s="57"/>
      <c r="N631" s="54"/>
      <c r="O631" s="54"/>
      <c r="P631" s="52"/>
      <c r="Q631" s="164"/>
      <c r="R631" s="35"/>
      <c r="S631" s="59"/>
      <c r="T631" s="59"/>
      <c r="U631" s="58"/>
      <c r="V631" s="87"/>
      <c r="W631" s="58" t="str">
        <f>IF(NOTA[[#This Row],[HARGA/ CTN]]="",NOTA[[#This Row],[JUMLAH_H]],NOTA[[#This Row],[HARGA/ CTN]]*NOTA[[#This Row],[C]])</f>
        <v/>
      </c>
      <c r="X631" s="58" t="str">
        <f>IF(NOTA[[#This Row],[JUMLAH]]="","",NOTA[[#This Row],[JUMLAH]]*NOTA[[#This Row],[DISC 1]])</f>
        <v/>
      </c>
      <c r="Y631" s="58" t="str">
        <f>IF(NOTA[[#This Row],[JUMLAH]]="","",(NOTA[[#This Row],[JUMLAH]]-NOTA[[#This Row],[DISC 1-]])*NOTA[[#This Row],[DISC 2]])</f>
        <v/>
      </c>
      <c r="Z631" s="58" t="str">
        <f>IF(NOTA[[#This Row],[JUMLAH]]="","",NOTA[[#This Row],[DISC 1-]]+NOTA[[#This Row],[DISC 2-]])</f>
        <v/>
      </c>
      <c r="AA631" s="58" t="str">
        <f>IF(NOTA[[#This Row],[JUMLAH]]="","",NOTA[[#This Row],[JUMLAH]]-NOTA[[#This Row],[DISC]])</f>
        <v/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8" t="str">
        <f>IF(OR(NOTA[[#This Row],[QTY]]="",NOTA[[#This Row],[HARGA SATUAN]]="",),"",NOTA[[#This Row],[QTY]]*NOTA[[#This Row],[HARGA SATUAN]])</f>
        <v/>
      </c>
      <c r="AF631" s="56" t="str">
        <f ca="1">IF(NOTA[ID_H]="","",INDEX(NOTA[TANGGAL],MATCH(,INDIRECT(ADDRESS(ROW(NOTA[TANGGAL]),COLUMN(NOTA[TANGGAL]))&amp;":"&amp;ADDRESS(ROW(),COLUMN(NOTA[TANGGAL]))),-1)))</f>
        <v/>
      </c>
      <c r="AG631" s="52" t="str">
        <f ca="1">IF(NOTA[[#This Row],[NAMA BARANG]]="","",INDEX(NOTA[SUPPLIER],MATCH(,INDIRECT(ADDRESS(ROW(NOTA[ID]),COLUMN(NOTA[ID]))&amp;":"&amp;ADDRESS(ROW(),COLUMN(NOTA[ID]))),-1)))</f>
        <v/>
      </c>
      <c r="AH631" s="16" t="str">
        <f ca="1">IF(NOTA[[#This Row],[ID]]="","",COUNTIF(NOTA[ID_H],NOTA[[#This Row],[ID_H]]))</f>
        <v/>
      </c>
      <c r="AI631" s="16" t="str">
        <f ca="1">IF(NOTA[[#This Row],[TGL.NOTA]]="",IF(NOTA[[#This Row],[SUPPLIER_H]]="","",AI630),MONTH(NOTA[[#This Row],[TGL.NOTA]]))</f>
        <v/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 t="str">
        <f ca="1">IF(NOTA[[#This Row],[NAMA BARANG]]="","",INDEX(NOTA[ID],MATCH(,INDIRECT(ADDRESS(ROW(NOTA[ID]),COLUMN(NOTA[ID]))&amp;":"&amp;ADDRESS(ROW(),COLUMN(NOTA[ID]))),-1)))</f>
        <v/>
      </c>
      <c r="E632" s="60"/>
      <c r="F632" s="54"/>
      <c r="G632" s="54"/>
      <c r="H632" s="55"/>
      <c r="I632" s="54"/>
      <c r="J632" s="56"/>
      <c r="K632" s="54"/>
      <c r="L632" s="31"/>
      <c r="M632" s="57"/>
      <c r="N632" s="54"/>
      <c r="O632" s="54"/>
      <c r="P632" s="52"/>
      <c r="Q632" s="164"/>
      <c r="R632" s="35"/>
      <c r="S632" s="59"/>
      <c r="T632" s="59"/>
      <c r="U632" s="58"/>
      <c r="V632" s="87"/>
      <c r="W632" s="58" t="str">
        <f>IF(NOTA[[#This Row],[HARGA/ CTN]]="",NOTA[[#This Row],[JUMLAH_H]],NOTA[[#This Row],[HARGA/ CTN]]*NOTA[[#This Row],[C]])</f>
        <v/>
      </c>
      <c r="X632" s="58" t="str">
        <f>IF(NOTA[[#This Row],[JUMLAH]]="","",NOTA[[#This Row],[JUMLAH]]*NOTA[[#This Row],[DISC 1]])</f>
        <v/>
      </c>
      <c r="Y632" s="58" t="str">
        <f>IF(NOTA[[#This Row],[JUMLAH]]="","",(NOTA[[#This Row],[JUMLAH]]-NOTA[[#This Row],[DISC 1-]])*NOTA[[#This Row],[DISC 2]])</f>
        <v/>
      </c>
      <c r="Z632" s="58" t="str">
        <f>IF(NOTA[[#This Row],[JUMLAH]]="","",NOTA[[#This Row],[DISC 1-]]+NOTA[[#This Row],[DISC 2-]])</f>
        <v/>
      </c>
      <c r="AA632" s="58" t="str">
        <f>IF(NOTA[[#This Row],[JUMLAH]]="","",NOTA[[#This Row],[JUMLAH]]-NOTA[[#This Row],[DISC]])</f>
        <v/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58" t="str">
        <f>IF(OR(NOTA[[#This Row],[QTY]]="",NOTA[[#This Row],[HARGA SATUAN]]="",),"",NOTA[[#This Row],[QTY]]*NOTA[[#This Row],[HARGA SATUAN]])</f>
        <v/>
      </c>
      <c r="AF632" s="56" t="str">
        <f ca="1">IF(NOTA[ID_H]="","",INDEX(NOTA[TANGGAL],MATCH(,INDIRECT(ADDRESS(ROW(NOTA[TANGGAL]),COLUMN(NOTA[TANGGAL]))&amp;":"&amp;ADDRESS(ROW(),COLUMN(NOTA[TANGGAL]))),-1)))</f>
        <v/>
      </c>
      <c r="AG632" s="52" t="str">
        <f ca="1">IF(NOTA[[#This Row],[NAMA BARANG]]="","",INDEX(NOTA[SUPPLIER],MATCH(,INDIRECT(ADDRESS(ROW(NOTA[ID]),COLUMN(NOTA[ID]))&amp;":"&amp;ADDRESS(ROW(),COLUMN(NOTA[ID]))),-1)))</f>
        <v/>
      </c>
      <c r="AH632" s="16" t="str">
        <f ca="1">IF(NOTA[[#This Row],[ID]]="","",COUNTIF(NOTA[ID_H],NOTA[[#This Row],[ID_H]]))</f>
        <v/>
      </c>
      <c r="AI632" s="16" t="str">
        <f ca="1">IF(NOTA[[#This Row],[TGL.NOTA]]="",IF(NOTA[[#This Row],[SUPPLIER_H]]="","",AI631),MONTH(NOTA[[#This Row],[TGL.NOTA]]))</f>
        <v/>
      </c>
      <c r="AJ632" s="16"/>
    </row>
    <row r="633" spans="1:36" ht="20.100000000000001" customHeight="1" x14ac:dyDescent="0.25">
      <c r="A63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2" t="str">
        <f>IF(NOTA[[#This Row],[ID_P]]="","",MATCH(NOTA[[#This Row],[ID_P]],[1]!B_MSK[N_ID],0))</f>
        <v/>
      </c>
      <c r="D633" s="62" t="str">
        <f ca="1">IF(NOTA[[#This Row],[NAMA BARANG]]="","",INDEX(NOTA[ID],MATCH(,INDIRECT(ADDRESS(ROW(NOTA[ID]),COLUMN(NOTA[ID]))&amp;":"&amp;ADDRESS(ROW(),COLUMN(NOTA[ID]))),-1)))</f>
        <v/>
      </c>
      <c r="E633" s="67"/>
      <c r="F633" s="48"/>
      <c r="G633" s="48"/>
      <c r="H633" s="33"/>
      <c r="I633" s="48"/>
      <c r="J633" s="50"/>
      <c r="K633" s="48"/>
      <c r="L633" s="31"/>
      <c r="M633" s="57"/>
      <c r="N633" s="54"/>
      <c r="O633" s="54"/>
      <c r="P633" s="52"/>
      <c r="Q633" s="164"/>
      <c r="R633" s="35"/>
      <c r="S633" s="59"/>
      <c r="T633" s="65"/>
      <c r="U633" s="64"/>
      <c r="V633" s="87"/>
      <c r="W633" s="64" t="str">
        <f>IF(NOTA[[#This Row],[HARGA/ CTN]]="",NOTA[[#This Row],[JUMLAH_H]],NOTA[[#This Row],[HARGA/ CTN]]*NOTA[[#This Row],[C]])</f>
        <v/>
      </c>
      <c r="X633" s="64" t="str">
        <f>IF(NOTA[[#This Row],[JUMLAH]]="","",NOTA[[#This Row],[JUMLAH]]*NOTA[[#This Row],[DISC 1]])</f>
        <v/>
      </c>
      <c r="Y633" s="64" t="str">
        <f>IF(NOTA[[#This Row],[JUMLAH]]="","",(NOTA[[#This Row],[JUMLAH]]-NOTA[[#This Row],[DISC 1-]])*NOTA[[#This Row],[DISC 2]])</f>
        <v/>
      </c>
      <c r="Z633" s="64" t="str">
        <f>IF(NOTA[[#This Row],[JUMLAH]]="","",NOTA[[#This Row],[DISC 1-]]+NOTA[[#This Row],[DISC 2-]])</f>
        <v/>
      </c>
      <c r="AA633" s="64" t="str">
        <f>IF(NOTA[[#This Row],[JUMLAH]]="","",NOTA[[#This Row],[JUMLAH]]-NOTA[[#This Row],[DISC]])</f>
        <v/>
      </c>
      <c r="AB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64" t="str">
        <f>IF(OR(NOTA[[#This Row],[QTY]]="",NOTA[[#This Row],[HARGA SATUAN]]="",),"",NOTA[[#This Row],[QTY]]*NOTA[[#This Row],[HARGA SATUAN]])</f>
        <v/>
      </c>
      <c r="AF633" s="50" t="str">
        <f ca="1">IF(NOTA[ID_H]="","",INDEX(NOTA[TANGGAL],MATCH(,INDIRECT(ADDRESS(ROW(NOTA[TANGGAL]),COLUMN(NOTA[TANGGAL]))&amp;":"&amp;ADDRESS(ROW(),COLUMN(NOTA[TANGGAL]))),-1)))</f>
        <v/>
      </c>
      <c r="AG633" s="61" t="str">
        <f ca="1">IF(NOTA[[#This Row],[NAMA BARANG]]="","",INDEX(NOTA[SUPPLIER],MATCH(,INDIRECT(ADDRESS(ROW(NOTA[ID]),COLUMN(NOTA[ID]))&amp;":"&amp;ADDRESS(ROW(),COLUMN(NOTA[ID]))),-1)))</f>
        <v/>
      </c>
      <c r="AH633" s="16" t="str">
        <f ca="1">IF(NOTA[[#This Row],[ID]]="","",COUNTIF(NOTA[ID_H],NOTA[[#This Row],[ID_H]]))</f>
        <v/>
      </c>
      <c r="AI633" s="16" t="str">
        <f ca="1">IF(NOTA[[#This Row],[TGL.NOTA]]="",IF(NOTA[[#This Row],[SUPPLIER_H]]="","",AI632),MONTH(NOTA[[#This Row],[TGL.NOTA]]))</f>
        <v/>
      </c>
      <c r="AJ633" s="16"/>
    </row>
    <row r="634" spans="1:36" ht="20.100000000000001" customHeight="1" x14ac:dyDescent="0.25">
      <c r="A6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2" t="str">
        <f>IF(NOTA[[#This Row],[ID_P]]="","",MATCH(NOTA[[#This Row],[ID_P]],[1]!B_MSK[N_ID],0))</f>
        <v/>
      </c>
      <c r="D634" s="62" t="str">
        <f ca="1">IF(NOTA[[#This Row],[NAMA BARANG]]="","",INDEX(NOTA[ID],MATCH(,INDIRECT(ADDRESS(ROW(NOTA[ID]),COLUMN(NOTA[ID]))&amp;":"&amp;ADDRESS(ROW(),COLUMN(NOTA[ID]))),-1)))</f>
        <v/>
      </c>
      <c r="E634" s="67"/>
      <c r="F634" s="48"/>
      <c r="G634" s="48"/>
      <c r="H634" s="49"/>
      <c r="I634" s="48"/>
      <c r="J634" s="50"/>
      <c r="K634" s="48"/>
      <c r="L634" s="31"/>
      <c r="M634" s="63"/>
      <c r="N634" s="48"/>
      <c r="O634" s="48"/>
      <c r="P634" s="61"/>
      <c r="Q634" s="166"/>
      <c r="R634" s="35"/>
      <c r="S634" s="65"/>
      <c r="T634" s="65"/>
      <c r="U634" s="64"/>
      <c r="V634" s="87"/>
      <c r="W634" s="64" t="str">
        <f>IF(NOTA[[#This Row],[HARGA/ CTN]]="",NOTA[[#This Row],[JUMLAH_H]],NOTA[[#This Row],[HARGA/ CTN]]*NOTA[[#This Row],[C]])</f>
        <v/>
      </c>
      <c r="X634" s="64" t="str">
        <f>IF(NOTA[[#This Row],[JUMLAH]]="","",NOTA[[#This Row],[JUMLAH]]*NOTA[[#This Row],[DISC 1]])</f>
        <v/>
      </c>
      <c r="Y634" s="64" t="str">
        <f>IF(NOTA[[#This Row],[JUMLAH]]="","",(NOTA[[#This Row],[JUMLAH]]-NOTA[[#This Row],[DISC 1-]])*NOTA[[#This Row],[DISC 2]])</f>
        <v/>
      </c>
      <c r="Z634" s="64" t="str">
        <f>IF(NOTA[[#This Row],[JUMLAH]]="","",NOTA[[#This Row],[DISC 1-]]+NOTA[[#This Row],[DISC 2-]])</f>
        <v/>
      </c>
      <c r="AA634" s="64" t="str">
        <f>IF(NOTA[[#This Row],[JUMLAH]]="","",NOTA[[#This Row],[JUMLAH]]-NOTA[[#This Row],[DISC]])</f>
        <v/>
      </c>
      <c r="AB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64" t="str">
        <f>IF(OR(NOTA[[#This Row],[QTY]]="",NOTA[[#This Row],[HARGA SATUAN]]="",),"",NOTA[[#This Row],[QTY]]*NOTA[[#This Row],[HARGA SATUAN]])</f>
        <v/>
      </c>
      <c r="AF634" s="50" t="str">
        <f ca="1">IF(NOTA[ID_H]="","",INDEX(NOTA[TANGGAL],MATCH(,INDIRECT(ADDRESS(ROW(NOTA[TANGGAL]),COLUMN(NOTA[TANGGAL]))&amp;":"&amp;ADDRESS(ROW(),COLUMN(NOTA[TANGGAL]))),-1)))</f>
        <v/>
      </c>
      <c r="AG634" s="61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2" t="str">
        <f>IF(NOTA[[#This Row],[ID_P]]="","",MATCH(NOTA[[#This Row],[ID_P]],[1]!B_MSK[N_ID],0))</f>
        <v/>
      </c>
      <c r="D635" s="62" t="str">
        <f ca="1">IF(NOTA[[#This Row],[NAMA BARANG]]="","",INDEX(NOTA[ID],MATCH(,INDIRECT(ADDRESS(ROW(NOTA[ID]),COLUMN(NOTA[ID]))&amp;":"&amp;ADDRESS(ROW(),COLUMN(NOTA[ID]))),-1)))</f>
        <v/>
      </c>
      <c r="E635" s="67"/>
      <c r="F635" s="48"/>
      <c r="G635" s="48"/>
      <c r="H635" s="49"/>
      <c r="I635" s="48"/>
      <c r="J635" s="50"/>
      <c r="K635" s="48"/>
      <c r="L635" s="31"/>
      <c r="M635" s="63"/>
      <c r="N635" s="48"/>
      <c r="O635" s="48"/>
      <c r="P635" s="61"/>
      <c r="Q635" s="166"/>
      <c r="R635" s="35"/>
      <c r="S635" s="65"/>
      <c r="T635" s="65"/>
      <c r="U635" s="64"/>
      <c r="V635" s="87"/>
      <c r="W635" s="64" t="str">
        <f>IF(NOTA[[#This Row],[HARGA/ CTN]]="",NOTA[[#This Row],[JUMLAH_H]],NOTA[[#This Row],[HARGA/ CTN]]*NOTA[[#This Row],[C]])</f>
        <v/>
      </c>
      <c r="X635" s="64" t="str">
        <f>IF(NOTA[[#This Row],[JUMLAH]]="","",NOTA[[#This Row],[JUMLAH]]*NOTA[[#This Row],[DISC 1]])</f>
        <v/>
      </c>
      <c r="Y635" s="64" t="str">
        <f>IF(NOTA[[#This Row],[JUMLAH]]="","",(NOTA[[#This Row],[JUMLAH]]-NOTA[[#This Row],[DISC 1-]])*NOTA[[#This Row],[DISC 2]])</f>
        <v/>
      </c>
      <c r="Z635" s="64" t="str">
        <f>IF(NOTA[[#This Row],[JUMLAH]]="","",NOTA[[#This Row],[DISC 1-]]+NOTA[[#This Row],[DISC 2-]])</f>
        <v/>
      </c>
      <c r="AA635" s="64" t="str">
        <f>IF(NOTA[[#This Row],[JUMLAH]]="","",NOTA[[#This Row],[JUMLAH]]-NOTA[[#This Row],[DISC]])</f>
        <v/>
      </c>
      <c r="AB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64" t="str">
        <f>IF(OR(NOTA[[#This Row],[QTY]]="",NOTA[[#This Row],[HARGA SATUAN]]="",),"",NOTA[[#This Row],[QTY]]*NOTA[[#This Row],[HARGA SATUAN]])</f>
        <v/>
      </c>
      <c r="AF635" s="50" t="str">
        <f ca="1">IF(NOTA[ID_H]="","",INDEX(NOTA[TANGGAL],MATCH(,INDIRECT(ADDRESS(ROW(NOTA[TANGGAL]),COLUMN(NOTA[TANGGAL]))&amp;":"&amp;ADDRESS(ROW(),COLUMN(NOTA[TANGGAL]))),-1)))</f>
        <v/>
      </c>
      <c r="AG635" s="61" t="str">
        <f ca="1">IF(NOTA[[#This Row],[NAMA BARANG]]="","",INDEX(NOTA[SUPPLIER],MATCH(,INDIRECT(ADDRESS(ROW(NOTA[ID]),COLUMN(NOTA[ID]))&amp;":"&amp;ADDRESS(ROW(),COLUMN(NOTA[ID]))),-1)))</f>
        <v/>
      </c>
      <c r="AH635" s="16" t="str">
        <f ca="1">IF(NOTA[[#This Row],[ID]]="","",COUNTIF(NOTA[ID_H],NOTA[[#This Row],[ID_H]]))</f>
        <v/>
      </c>
      <c r="AI635" s="16" t="str">
        <f ca="1">IF(NOTA[[#This Row],[TGL.NOTA]]="",IF(NOTA[[#This Row],[SUPPLIER_H]]="","",AI634),MONTH(NOTA[[#This Row],[TGL.NOTA]]))</f>
        <v/>
      </c>
      <c r="AJ635" s="16"/>
    </row>
    <row r="636" spans="1:36" ht="20.100000000000001" customHeight="1" x14ac:dyDescent="0.25">
      <c r="A6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62" t="str">
        <f>IF(NOTA[[#This Row],[ID_P]]="","",MATCH(NOTA[[#This Row],[ID_P]],[1]!B_MSK[N_ID],0))</f>
        <v/>
      </c>
      <c r="D636" s="62" t="str">
        <f ca="1">IF(NOTA[[#This Row],[NAMA BARANG]]="","",INDEX(NOTA[ID],MATCH(,INDIRECT(ADDRESS(ROW(NOTA[ID]),COLUMN(NOTA[ID]))&amp;":"&amp;ADDRESS(ROW(),COLUMN(NOTA[ID]))),-1)))</f>
        <v/>
      </c>
      <c r="E636" s="67"/>
      <c r="F636" s="48"/>
      <c r="G636" s="48"/>
      <c r="H636" s="49"/>
      <c r="I636" s="48"/>
      <c r="J636" s="50"/>
      <c r="K636" s="48"/>
      <c r="L636" s="31"/>
      <c r="M636" s="63"/>
      <c r="N636" s="48"/>
      <c r="O636" s="48"/>
      <c r="P636" s="61"/>
      <c r="Q636" s="166"/>
      <c r="R636" s="35"/>
      <c r="S636" s="65"/>
      <c r="T636" s="65"/>
      <c r="U636" s="64"/>
      <c r="V636" s="87"/>
      <c r="W636" s="64" t="str">
        <f>IF(NOTA[[#This Row],[HARGA/ CTN]]="",NOTA[[#This Row],[JUMLAH_H]],NOTA[[#This Row],[HARGA/ CTN]]*NOTA[[#This Row],[C]])</f>
        <v/>
      </c>
      <c r="X636" s="64" t="str">
        <f>IF(NOTA[[#This Row],[JUMLAH]]="","",NOTA[[#This Row],[JUMLAH]]*NOTA[[#This Row],[DISC 1]])</f>
        <v/>
      </c>
      <c r="Y636" s="64" t="str">
        <f>IF(NOTA[[#This Row],[JUMLAH]]="","",(NOTA[[#This Row],[JUMLAH]]-NOTA[[#This Row],[DISC 1-]])*NOTA[[#This Row],[DISC 2]])</f>
        <v/>
      </c>
      <c r="Z636" s="64" t="str">
        <f>IF(NOTA[[#This Row],[JUMLAH]]="","",NOTA[[#This Row],[DISC 1-]]+NOTA[[#This Row],[DISC 2-]])</f>
        <v/>
      </c>
      <c r="AA636" s="64" t="str">
        <f>IF(NOTA[[#This Row],[JUMLAH]]="","",NOTA[[#This Row],[JUMLAH]]-NOTA[[#This Row],[DISC]])</f>
        <v/>
      </c>
      <c r="AB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64" t="str">
        <f>IF(OR(NOTA[[#This Row],[QTY]]="",NOTA[[#This Row],[HARGA SATUAN]]="",),"",NOTA[[#This Row],[QTY]]*NOTA[[#This Row],[HARGA SATUAN]])</f>
        <v/>
      </c>
      <c r="AF636" s="50" t="str">
        <f ca="1">IF(NOTA[ID_H]="","",INDEX(NOTA[TANGGAL],MATCH(,INDIRECT(ADDRESS(ROW(NOTA[TANGGAL]),COLUMN(NOTA[TANGGAL]))&amp;":"&amp;ADDRESS(ROW(),COLUMN(NOTA[TANGGAL]))),-1)))</f>
        <v/>
      </c>
      <c r="AG636" s="61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2" t="str">
        <f>IF(NOTA[[#This Row],[ID_P]]="","",MATCH(NOTA[[#This Row],[ID_P]],[1]!B_MSK[N_ID],0))</f>
        <v/>
      </c>
      <c r="D637" s="62" t="str">
        <f ca="1">IF(NOTA[[#This Row],[NAMA BARANG]]="","",INDEX(NOTA[ID],MATCH(,INDIRECT(ADDRESS(ROW(NOTA[ID]),COLUMN(NOTA[ID]))&amp;":"&amp;ADDRESS(ROW(),COLUMN(NOTA[ID]))),-1)))</f>
        <v/>
      </c>
      <c r="E637" s="67"/>
      <c r="F637" s="48"/>
      <c r="G637" s="48"/>
      <c r="H637" s="49"/>
      <c r="I637" s="48"/>
      <c r="J637" s="50"/>
      <c r="K637" s="48"/>
      <c r="L637" s="31"/>
      <c r="M637" s="63"/>
      <c r="N637" s="48"/>
      <c r="O637" s="48"/>
      <c r="P637" s="61"/>
      <c r="Q637" s="166"/>
      <c r="R637" s="35"/>
      <c r="S637" s="65"/>
      <c r="T637" s="65"/>
      <c r="U637" s="64"/>
      <c r="V637" s="87"/>
      <c r="W637" s="64" t="str">
        <f>IF(NOTA[[#This Row],[HARGA/ CTN]]="",NOTA[[#This Row],[JUMLAH_H]],NOTA[[#This Row],[HARGA/ CTN]]*NOTA[[#This Row],[C]])</f>
        <v/>
      </c>
      <c r="X637" s="64" t="str">
        <f>IF(NOTA[[#This Row],[JUMLAH]]="","",NOTA[[#This Row],[JUMLAH]]*NOTA[[#This Row],[DISC 1]])</f>
        <v/>
      </c>
      <c r="Y637" s="64" t="str">
        <f>IF(NOTA[[#This Row],[JUMLAH]]="","",(NOTA[[#This Row],[JUMLAH]]-NOTA[[#This Row],[DISC 1-]])*NOTA[[#This Row],[DISC 2]])</f>
        <v/>
      </c>
      <c r="Z637" s="64" t="str">
        <f>IF(NOTA[[#This Row],[JUMLAH]]="","",NOTA[[#This Row],[DISC 1-]]+NOTA[[#This Row],[DISC 2-]])</f>
        <v/>
      </c>
      <c r="AA637" s="64" t="str">
        <f>IF(NOTA[[#This Row],[JUMLAH]]="","",NOTA[[#This Row],[JUMLAH]]-NOTA[[#This Row],[DISC]])</f>
        <v/>
      </c>
      <c r="AB6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64" t="str">
        <f>IF(OR(NOTA[[#This Row],[QTY]]="",NOTA[[#This Row],[HARGA SATUAN]]="",),"",NOTA[[#This Row],[QTY]]*NOTA[[#This Row],[HARGA SATUAN]])</f>
        <v/>
      </c>
      <c r="AF637" s="50" t="str">
        <f ca="1">IF(NOTA[ID_H]="","",INDEX(NOTA[TANGGAL],MATCH(,INDIRECT(ADDRESS(ROW(NOTA[TANGGAL]),COLUMN(NOTA[TANGGAL]))&amp;":"&amp;ADDRESS(ROW(),COLUMN(NOTA[TANGGAL]))),-1)))</f>
        <v/>
      </c>
      <c r="AG637" s="61" t="str">
        <f ca="1">IF(NOTA[[#This Row],[NAMA BARANG]]="","",INDEX(NOTA[SUPPLIER],MATCH(,INDIRECT(ADDRESS(ROW(NOTA[ID]),COLUMN(NOTA[ID]))&amp;":"&amp;ADDRESS(ROW(),COLUMN(NOTA[ID]))),-1)))</f>
        <v/>
      </c>
      <c r="AH637" s="16" t="str">
        <f ca="1">IF(NOTA[[#This Row],[ID]]="","",COUNTIF(NOTA[ID_H],NOTA[[#This Row],[ID_H]]))</f>
        <v/>
      </c>
      <c r="AI637" s="16" t="str">
        <f ca="1">IF(NOTA[[#This Row],[TGL.NOTA]]="",IF(NOTA[[#This Row],[SUPPLIER_H]]="","",AI636),MONTH(NOTA[[#This Row],[TGL.NOTA]]))</f>
        <v/>
      </c>
      <c r="AJ637" s="16"/>
    </row>
    <row r="638" spans="1:36" ht="20.100000000000001" customHeight="1" x14ac:dyDescent="0.25">
      <c r="A6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2" t="str">
        <f>IF(NOTA[[#This Row],[ID_P]]="","",MATCH(NOTA[[#This Row],[ID_P]],[1]!B_MSK[N_ID],0))</f>
        <v/>
      </c>
      <c r="D638" s="62" t="str">
        <f ca="1">IF(NOTA[[#This Row],[NAMA BARANG]]="","",INDEX(NOTA[ID],MATCH(,INDIRECT(ADDRESS(ROW(NOTA[ID]),COLUMN(NOTA[ID]))&amp;":"&amp;ADDRESS(ROW(),COLUMN(NOTA[ID]))),-1)))</f>
        <v/>
      </c>
      <c r="E638" s="67"/>
      <c r="F638" s="48"/>
      <c r="G638" s="48"/>
      <c r="H638" s="49"/>
      <c r="I638" s="48"/>
      <c r="J638" s="50"/>
      <c r="K638" s="48"/>
      <c r="L638" s="31"/>
      <c r="M638" s="63"/>
      <c r="N638" s="48"/>
      <c r="O638" s="48"/>
      <c r="P638" s="61"/>
      <c r="Q638" s="166"/>
      <c r="R638" s="35"/>
      <c r="S638" s="65"/>
      <c r="T638" s="65"/>
      <c r="U638" s="64"/>
      <c r="V638" s="87"/>
      <c r="W638" s="64" t="str">
        <f>IF(NOTA[[#This Row],[HARGA/ CTN]]="",NOTA[[#This Row],[JUMLAH_H]],NOTA[[#This Row],[HARGA/ CTN]]*NOTA[[#This Row],[C]])</f>
        <v/>
      </c>
      <c r="X638" s="64" t="str">
        <f>IF(NOTA[[#This Row],[JUMLAH]]="","",NOTA[[#This Row],[JUMLAH]]*NOTA[[#This Row],[DISC 1]])</f>
        <v/>
      </c>
      <c r="Y638" s="64" t="str">
        <f>IF(NOTA[[#This Row],[JUMLAH]]="","",(NOTA[[#This Row],[JUMLAH]]-NOTA[[#This Row],[DISC 1-]])*NOTA[[#This Row],[DISC 2]])</f>
        <v/>
      </c>
      <c r="Z638" s="64" t="str">
        <f>IF(NOTA[[#This Row],[JUMLAH]]="","",NOTA[[#This Row],[DISC 1-]]+NOTA[[#This Row],[DISC 2-]])</f>
        <v/>
      </c>
      <c r="AA638" s="64" t="str">
        <f>IF(NOTA[[#This Row],[JUMLAH]]="","",NOTA[[#This Row],[JUMLAH]]-NOTA[[#This Row],[DISC]])</f>
        <v/>
      </c>
      <c r="AB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4" t="str">
        <f>IF(OR(NOTA[[#This Row],[QTY]]="",NOTA[[#This Row],[HARGA SATUAN]]="",),"",NOTA[[#This Row],[QTY]]*NOTA[[#This Row],[HARGA SATUAN]])</f>
        <v/>
      </c>
      <c r="AF638" s="50" t="str">
        <f ca="1">IF(NOTA[ID_H]="","",INDEX(NOTA[TANGGAL],MATCH(,INDIRECT(ADDRESS(ROW(NOTA[TANGGAL]),COLUMN(NOTA[TANGGAL]))&amp;":"&amp;ADDRESS(ROW(),COLUMN(NOTA[TANGGAL]))),-1)))</f>
        <v/>
      </c>
      <c r="AG638" s="61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2" t="str">
        <f>IF(NOTA[[#This Row],[ID_P]]="","",MATCH(NOTA[[#This Row],[ID_P]],[1]!B_MSK[N_ID],0))</f>
        <v/>
      </c>
      <c r="D639" s="62" t="str">
        <f ca="1">IF(NOTA[[#This Row],[NAMA BARANG]]="","",INDEX(NOTA[ID],MATCH(,INDIRECT(ADDRESS(ROW(NOTA[ID]),COLUMN(NOTA[ID]))&amp;":"&amp;ADDRESS(ROW(),COLUMN(NOTA[ID]))),-1)))</f>
        <v/>
      </c>
      <c r="E639" s="67"/>
      <c r="F639" s="48"/>
      <c r="G639" s="48"/>
      <c r="H639" s="49"/>
      <c r="I639" s="48"/>
      <c r="J639" s="50"/>
      <c r="K639" s="48"/>
      <c r="L639" s="31"/>
      <c r="M639" s="63"/>
      <c r="N639" s="48"/>
      <c r="O639" s="48"/>
      <c r="P639" s="61"/>
      <c r="Q639" s="166"/>
      <c r="R639" s="35"/>
      <c r="S639" s="65"/>
      <c r="T639" s="65"/>
      <c r="U639" s="64"/>
      <c r="V639" s="87"/>
      <c r="W639" s="64" t="str">
        <f>IF(NOTA[[#This Row],[HARGA/ CTN]]="",NOTA[[#This Row],[JUMLAH_H]],NOTA[[#This Row],[HARGA/ CTN]]*NOTA[[#This Row],[C]])</f>
        <v/>
      </c>
      <c r="X639" s="64" t="str">
        <f>IF(NOTA[[#This Row],[JUMLAH]]="","",NOTA[[#This Row],[JUMLAH]]*NOTA[[#This Row],[DISC 1]])</f>
        <v/>
      </c>
      <c r="Y639" s="64" t="str">
        <f>IF(NOTA[[#This Row],[JUMLAH]]="","",(NOTA[[#This Row],[JUMLAH]]-NOTA[[#This Row],[DISC 1-]])*NOTA[[#This Row],[DISC 2]])</f>
        <v/>
      </c>
      <c r="Z639" s="64" t="str">
        <f>IF(NOTA[[#This Row],[JUMLAH]]="","",NOTA[[#This Row],[DISC 1-]]+NOTA[[#This Row],[DISC 2-]])</f>
        <v/>
      </c>
      <c r="AA639" s="64" t="str">
        <f>IF(NOTA[[#This Row],[JUMLAH]]="","",NOTA[[#This Row],[JUMLAH]]-NOTA[[#This Row],[DISC]])</f>
        <v/>
      </c>
      <c r="AB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64" t="str">
        <f>IF(OR(NOTA[[#This Row],[QTY]]="",NOTA[[#This Row],[HARGA SATUAN]]="",),"",NOTA[[#This Row],[QTY]]*NOTA[[#This Row],[HARGA SATUAN]])</f>
        <v/>
      </c>
      <c r="AF639" s="50" t="str">
        <f ca="1">IF(NOTA[ID_H]="","",INDEX(NOTA[TANGGAL],MATCH(,INDIRECT(ADDRESS(ROW(NOTA[TANGGAL]),COLUMN(NOTA[TANGGAL]))&amp;":"&amp;ADDRESS(ROW(),COLUMN(NOTA[TANGGAL]))),-1)))</f>
        <v/>
      </c>
      <c r="AG639" s="61" t="str">
        <f ca="1">IF(NOTA[[#This Row],[NAMA BARANG]]="","",INDEX(NOTA[SUPPLIER],MATCH(,INDIRECT(ADDRESS(ROW(NOTA[ID]),COLUMN(NOTA[ID]))&amp;":"&amp;ADDRESS(ROW(),COLUMN(NOTA[ID]))),-1)))</f>
        <v/>
      </c>
      <c r="AH639" s="16" t="str">
        <f ca="1">IF(NOTA[[#This Row],[ID]]="","",COUNTIF(NOTA[ID_H],NOTA[[#This Row],[ID_H]]))</f>
        <v/>
      </c>
      <c r="AI639" s="16" t="str">
        <f ca="1">IF(NOTA[[#This Row],[TGL.NOTA]]="",IF(NOTA[[#This Row],[SUPPLIER_H]]="","",AI638),MONTH(NOTA[[#This Row],[TGL.NOTA]]))</f>
        <v/>
      </c>
      <c r="AJ639" s="16"/>
    </row>
    <row r="640" spans="1:36" ht="20.100000000000001" customHeight="1" x14ac:dyDescent="0.25">
      <c r="A64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62" t="str">
        <f>IF(NOTA[[#This Row],[ID_P]]="","",MATCH(NOTA[[#This Row],[ID_P]],[1]!B_MSK[N_ID],0))</f>
        <v/>
      </c>
      <c r="D640" s="62" t="str">
        <f ca="1">IF(NOTA[[#This Row],[NAMA BARANG]]="","",INDEX(NOTA[ID],MATCH(,INDIRECT(ADDRESS(ROW(NOTA[ID]),COLUMN(NOTA[ID]))&amp;":"&amp;ADDRESS(ROW(),COLUMN(NOTA[ID]))),-1)))</f>
        <v/>
      </c>
      <c r="E640" s="67"/>
      <c r="F640" s="48"/>
      <c r="G640" s="48"/>
      <c r="H640" s="49"/>
      <c r="I640" s="48"/>
      <c r="J640" s="50"/>
      <c r="K640" s="48"/>
      <c r="L640" s="31"/>
      <c r="M640" s="63"/>
      <c r="N640" s="48"/>
      <c r="O640" s="48"/>
      <c r="P640" s="61"/>
      <c r="Q640" s="166"/>
      <c r="R640" s="35"/>
      <c r="S640" s="65"/>
      <c r="T640" s="65"/>
      <c r="U640" s="64"/>
      <c r="V640" s="87"/>
      <c r="W640" s="64" t="str">
        <f>IF(NOTA[[#This Row],[HARGA/ CTN]]="",NOTA[[#This Row],[JUMLAH_H]],NOTA[[#This Row],[HARGA/ CTN]]*NOTA[[#This Row],[C]])</f>
        <v/>
      </c>
      <c r="X640" s="64" t="str">
        <f>IF(NOTA[[#This Row],[JUMLAH]]="","",NOTA[[#This Row],[JUMLAH]]*NOTA[[#This Row],[DISC 1]])</f>
        <v/>
      </c>
      <c r="Y640" s="64" t="str">
        <f>IF(NOTA[[#This Row],[JUMLAH]]="","",(NOTA[[#This Row],[JUMLAH]]-NOTA[[#This Row],[DISC 1-]])*NOTA[[#This Row],[DISC 2]])</f>
        <v/>
      </c>
      <c r="Z640" s="64" t="str">
        <f>IF(NOTA[[#This Row],[JUMLAH]]="","",NOTA[[#This Row],[DISC 1-]]+NOTA[[#This Row],[DISC 2-]])</f>
        <v/>
      </c>
      <c r="AA640" s="64" t="str">
        <f>IF(NOTA[[#This Row],[JUMLAH]]="","",NOTA[[#This Row],[JUMLAH]]-NOTA[[#This Row],[DISC]])</f>
        <v/>
      </c>
      <c r="AB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64" t="str">
        <f>IF(OR(NOTA[[#This Row],[QTY]]="",NOTA[[#This Row],[HARGA SATUAN]]="",),"",NOTA[[#This Row],[QTY]]*NOTA[[#This Row],[HARGA SATUAN]])</f>
        <v/>
      </c>
      <c r="AF640" s="50" t="str">
        <f ca="1">IF(NOTA[ID_H]="","",INDEX(NOTA[TANGGAL],MATCH(,INDIRECT(ADDRESS(ROW(NOTA[TANGGAL]),COLUMN(NOTA[TANGGAL]))&amp;":"&amp;ADDRESS(ROW(),COLUMN(NOTA[TANGGAL]))),-1)))</f>
        <v/>
      </c>
      <c r="AG640" s="61" t="str">
        <f ca="1">IF(NOTA[[#This Row],[NAMA BARANG]]="","",INDEX(NOTA[SUPPLIER],MATCH(,INDIRECT(ADDRESS(ROW(NOTA[ID]),COLUMN(NOTA[ID]))&amp;":"&amp;ADDRESS(ROW(),COLUMN(NOTA[ID]))),-1)))</f>
        <v/>
      </c>
      <c r="AH640" s="16" t="str">
        <f ca="1">IF(NOTA[[#This Row],[ID]]="","",COUNTIF(NOTA[ID_H],NOTA[[#This Row],[ID_H]]))</f>
        <v/>
      </c>
      <c r="AI640" s="16" t="str">
        <f ca="1">IF(NOTA[[#This Row],[TGL.NOTA]]="",IF(NOTA[[#This Row],[SUPPLIER_H]]="","",AI639),MONTH(NOTA[[#This Row],[TGL.NOTA]]))</f>
        <v/>
      </c>
      <c r="AJ640" s="16"/>
    </row>
    <row r="641" spans="1:36" ht="20.100000000000001" customHeight="1" x14ac:dyDescent="0.25">
      <c r="A6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2" t="str">
        <f>IF(NOTA[[#This Row],[ID_P]]="","",MATCH(NOTA[[#This Row],[ID_P]],[1]!B_MSK[N_ID],0))</f>
        <v/>
      </c>
      <c r="D641" s="62" t="str">
        <f ca="1">IF(NOTA[[#This Row],[NAMA BARANG]]="","",INDEX(NOTA[ID],MATCH(,INDIRECT(ADDRESS(ROW(NOTA[ID]),COLUMN(NOTA[ID]))&amp;":"&amp;ADDRESS(ROW(),COLUMN(NOTA[ID]))),-1)))</f>
        <v/>
      </c>
      <c r="E641" s="67"/>
      <c r="F641" s="48"/>
      <c r="G641" s="48"/>
      <c r="H641" s="49"/>
      <c r="I641" s="48"/>
      <c r="J641" s="50"/>
      <c r="K641" s="48"/>
      <c r="L641" s="31"/>
      <c r="M641" s="63"/>
      <c r="N641" s="48"/>
      <c r="O641" s="48"/>
      <c r="P641" s="61"/>
      <c r="Q641" s="166"/>
      <c r="R641" s="35"/>
      <c r="S641" s="65"/>
      <c r="T641" s="65"/>
      <c r="U641" s="64"/>
      <c r="V641" s="87"/>
      <c r="W641" s="64" t="str">
        <f>IF(NOTA[[#This Row],[HARGA/ CTN]]="",NOTA[[#This Row],[JUMLAH_H]],NOTA[[#This Row],[HARGA/ CTN]]*NOTA[[#This Row],[C]])</f>
        <v/>
      </c>
      <c r="X641" s="64" t="str">
        <f>IF(NOTA[[#This Row],[JUMLAH]]="","",NOTA[[#This Row],[JUMLAH]]*NOTA[[#This Row],[DISC 1]])</f>
        <v/>
      </c>
      <c r="Y641" s="64" t="str">
        <f>IF(NOTA[[#This Row],[JUMLAH]]="","",(NOTA[[#This Row],[JUMLAH]]-NOTA[[#This Row],[DISC 1-]])*NOTA[[#This Row],[DISC 2]])</f>
        <v/>
      </c>
      <c r="Z641" s="64" t="str">
        <f>IF(NOTA[[#This Row],[JUMLAH]]="","",NOTA[[#This Row],[DISC 1-]]+NOTA[[#This Row],[DISC 2-]])</f>
        <v/>
      </c>
      <c r="AA641" s="64" t="str">
        <f>IF(NOTA[[#This Row],[JUMLAH]]="","",NOTA[[#This Row],[JUMLAH]]-NOTA[[#This Row],[DISC]])</f>
        <v/>
      </c>
      <c r="AB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64" t="str">
        <f>IF(OR(NOTA[[#This Row],[QTY]]="",NOTA[[#This Row],[HARGA SATUAN]]="",),"",NOTA[[#This Row],[QTY]]*NOTA[[#This Row],[HARGA SATUAN]])</f>
        <v/>
      </c>
      <c r="AF641" s="50" t="str">
        <f ca="1">IF(NOTA[ID_H]="","",INDEX(NOTA[TANGGAL],MATCH(,INDIRECT(ADDRESS(ROW(NOTA[TANGGAL]),COLUMN(NOTA[TANGGAL]))&amp;":"&amp;ADDRESS(ROW(),COLUMN(NOTA[TANGGAL]))),-1)))</f>
        <v/>
      </c>
      <c r="AG641" s="61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2" t="str">
        <f>IF(NOTA[[#This Row],[ID_P]]="","",MATCH(NOTA[[#This Row],[ID_P]],[1]!B_MSK[N_ID],0))</f>
        <v/>
      </c>
      <c r="D642" s="62" t="str">
        <f ca="1">IF(NOTA[[#This Row],[NAMA BARANG]]="","",INDEX(NOTA[ID],MATCH(,INDIRECT(ADDRESS(ROW(NOTA[ID]),COLUMN(NOTA[ID]))&amp;":"&amp;ADDRESS(ROW(),COLUMN(NOTA[ID]))),-1)))</f>
        <v/>
      </c>
      <c r="E642" s="67"/>
      <c r="F642" s="31"/>
      <c r="G642" s="31"/>
      <c r="H642" s="33"/>
      <c r="I642" s="31"/>
      <c r="J642" s="50"/>
      <c r="K642" s="48"/>
      <c r="L642" s="31"/>
      <c r="M642" s="63"/>
      <c r="N642" s="48"/>
      <c r="O642" s="48"/>
      <c r="P642" s="61"/>
      <c r="Q642" s="166"/>
      <c r="R642" s="35"/>
      <c r="S642" s="65"/>
      <c r="T642" s="65"/>
      <c r="U642" s="64"/>
      <c r="V642" s="87"/>
      <c r="W642" s="64" t="str">
        <f>IF(NOTA[[#This Row],[HARGA/ CTN]]="",NOTA[[#This Row],[JUMLAH_H]],NOTA[[#This Row],[HARGA/ CTN]]*NOTA[[#This Row],[C]])</f>
        <v/>
      </c>
      <c r="X642" s="64" t="str">
        <f>IF(NOTA[[#This Row],[JUMLAH]]="","",NOTA[[#This Row],[JUMLAH]]*NOTA[[#This Row],[DISC 1]])</f>
        <v/>
      </c>
      <c r="Y642" s="64" t="str">
        <f>IF(NOTA[[#This Row],[JUMLAH]]="","",(NOTA[[#This Row],[JUMLAH]]-NOTA[[#This Row],[DISC 1-]])*NOTA[[#This Row],[DISC 2]])</f>
        <v/>
      </c>
      <c r="Z642" s="64" t="str">
        <f>IF(NOTA[[#This Row],[JUMLAH]]="","",NOTA[[#This Row],[DISC 1-]]+NOTA[[#This Row],[DISC 2-]])</f>
        <v/>
      </c>
      <c r="AA642" s="64" t="str">
        <f>IF(NOTA[[#This Row],[JUMLAH]]="","",NOTA[[#This Row],[JUMLAH]]-NOTA[[#This Row],[DISC]])</f>
        <v/>
      </c>
      <c r="AB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64" t="str">
        <f>IF(OR(NOTA[[#This Row],[QTY]]="",NOTA[[#This Row],[HARGA SATUAN]]="",),"",NOTA[[#This Row],[QTY]]*NOTA[[#This Row],[HARGA SATUAN]])</f>
        <v/>
      </c>
      <c r="AF642" s="50" t="str">
        <f ca="1">IF(NOTA[ID_H]="","",INDEX(NOTA[TANGGAL],MATCH(,INDIRECT(ADDRESS(ROW(NOTA[TANGGAL]),COLUMN(NOTA[TANGGAL]))&amp;":"&amp;ADDRESS(ROW(),COLUMN(NOTA[TANGGAL]))),-1)))</f>
        <v/>
      </c>
      <c r="AG642" s="61" t="str">
        <f ca="1">IF(NOTA[[#This Row],[NAMA BARANG]]="","",INDEX(NOTA[SUPPLIER],MATCH(,INDIRECT(ADDRESS(ROW(NOTA[ID]),COLUMN(NOTA[ID]))&amp;":"&amp;ADDRESS(ROW(),COLUMN(NOTA[ID]))),-1)))</f>
        <v/>
      </c>
      <c r="AH642" s="16" t="str">
        <f ca="1">IF(NOTA[[#This Row],[ID]]="","",COUNTIF(NOTA[ID_H],NOTA[[#This Row],[ID_H]]))</f>
        <v/>
      </c>
      <c r="AI642" s="16" t="str">
        <f ca="1">IF(NOTA[[#This Row],[TGL.NOTA]]="",IF(NOTA[[#This Row],[SUPPLIER_H]]="","",AI641),MONTH(NOTA[[#This Row],[TGL.NOTA]]))</f>
        <v/>
      </c>
      <c r="AJ642" s="16"/>
    </row>
    <row r="643" spans="1:36" ht="20.100000000000001" customHeight="1" x14ac:dyDescent="0.25">
      <c r="A6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39" t="str">
        <f>IF(NOTA[[#This Row],[ID_P]]="","",MATCH(NOTA[[#This Row],[ID_P]],[1]!B_MSK[N_ID],0))</f>
        <v/>
      </c>
      <c r="D643" s="39" t="str">
        <f ca="1">IF(NOTA[[#This Row],[NAMA BARANG]]="","",INDEX(NOTA[ID],MATCH(,INDIRECT(ADDRESS(ROW(NOTA[ID]),COLUMN(NOTA[ID]))&amp;":"&amp;ADDRESS(ROW(),COLUMN(NOTA[ID]))),-1)))</f>
        <v/>
      </c>
      <c r="E643" s="32"/>
      <c r="F643" s="31"/>
      <c r="G643" s="31"/>
      <c r="H643" s="33"/>
      <c r="I643" s="31"/>
      <c r="J643" s="34"/>
      <c r="K643" s="31"/>
      <c r="L643" s="31"/>
      <c r="M643" s="35"/>
      <c r="N643" s="31"/>
      <c r="O643" s="31"/>
      <c r="P643" s="30"/>
      <c r="Q643" s="103"/>
      <c r="R643" s="35"/>
      <c r="S643" s="37"/>
      <c r="T643" s="37"/>
      <c r="U643" s="36"/>
      <c r="V643" s="8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4" t="str">
        <f ca="1">IF(NOTA[ID_H]="","",INDEX(NOTA[TANGGAL],MATCH(,INDIRECT(ADDRESS(ROW(NOTA[TANGGAL]),COLUMN(NOTA[TANGGAL]))&amp;":"&amp;ADDRESS(ROW(),COLUMN(NOTA[TANGGAL]))),-1)))</f>
        <v/>
      </c>
      <c r="AG643" s="30" t="str">
        <f ca="1">IF(NOTA[[#This Row],[NAMA BARANG]]="","",INDEX(NOTA[SUPPLIER],MATCH(,INDIRECT(ADDRESS(ROW(NOTA[ID]),COLUMN(NOTA[ID]))&amp;":"&amp;ADDRESS(ROW(),COLUMN(NOTA[ID]))),-1)))</f>
        <v/>
      </c>
      <c r="AH643" s="16" t="str">
        <f ca="1">IF(NOTA[[#This Row],[ID]]="","",COUNTIF(NOTA[ID_H],NOTA[[#This Row],[ID_H]]))</f>
        <v/>
      </c>
      <c r="AI643" s="16" t="str">
        <f ca="1">IF(NOTA[[#This Row],[TGL.NOTA]]="",IF(NOTA[[#This Row],[SUPPLIER_H]]="","",AI642),MONTH(NOTA[[#This Row],[TGL.NOTA]]))</f>
        <v/>
      </c>
      <c r="AJ643" s="16"/>
    </row>
    <row r="644" spans="1:36" ht="20.100000000000001" customHeight="1" x14ac:dyDescent="0.25">
      <c r="A6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39" t="str">
        <f>IF(NOTA[[#This Row],[ID_P]]="","",MATCH(NOTA[[#This Row],[ID_P]],[1]!B_MSK[N_ID],0))</f>
        <v/>
      </c>
      <c r="D644" s="39" t="str">
        <f ca="1">IF(NOTA[[#This Row],[NAMA BARANG]]="","",INDEX(NOTA[ID],MATCH(,INDIRECT(ADDRESS(ROW(NOTA[ID]),COLUMN(NOTA[ID]))&amp;":"&amp;ADDRESS(ROW(),COLUMN(NOTA[ID]))),-1)))</f>
        <v/>
      </c>
      <c r="E644" s="32"/>
      <c r="F644" s="31"/>
      <c r="G644" s="31"/>
      <c r="H644" s="33"/>
      <c r="I644" s="31"/>
      <c r="J644" s="34"/>
      <c r="K644" s="31"/>
      <c r="L644" s="31"/>
      <c r="M644" s="35"/>
      <c r="N644" s="31"/>
      <c r="O644" s="31"/>
      <c r="P644" s="30"/>
      <c r="Q644" s="103"/>
      <c r="R644" s="35"/>
      <c r="S644" s="37"/>
      <c r="T644" s="37"/>
      <c r="U644" s="36"/>
      <c r="V644" s="87"/>
      <c r="W644" s="36" t="str">
        <f>IF(NOTA[[#This Row],[HARGA/ CTN]]="",NOTA[[#This Row],[JUMLAH_H]],NOTA[[#This Row],[HARGA/ CTN]]*NOTA[[#This Row],[C]])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4" t="str">
        <f ca="1">IF(NOTA[ID_H]="","",INDEX(NOTA[TANGGAL],MATCH(,INDIRECT(ADDRESS(ROW(NOTA[TANGGAL]),COLUMN(NOTA[TANGGAL]))&amp;":"&amp;ADDRESS(ROW(),COLUMN(NOTA[TANGGAL]))),-1)))</f>
        <v/>
      </c>
      <c r="AG644" s="30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39" t="str">
        <f>IF(NOTA[[#This Row],[ID_P]]="","",MATCH(NOTA[[#This Row],[ID_P]],[1]!B_MSK[N_ID],0))</f>
        <v/>
      </c>
      <c r="D645" s="39" t="str">
        <f ca="1">IF(NOTA[[#This Row],[NAMA BARANG]]="","",INDEX(NOTA[ID],MATCH(,INDIRECT(ADDRESS(ROW(NOTA[ID]),COLUMN(NOTA[ID]))&amp;":"&amp;ADDRESS(ROW(),COLUMN(NOTA[ID]))),-1)))</f>
        <v/>
      </c>
      <c r="E645" s="32"/>
      <c r="F645" s="31"/>
      <c r="G645" s="31"/>
      <c r="H645" s="33"/>
      <c r="I645" s="31"/>
      <c r="J645" s="34"/>
      <c r="K645" s="31"/>
      <c r="L645" s="31"/>
      <c r="M645" s="35"/>
      <c r="N645" s="31"/>
      <c r="O645" s="31"/>
      <c r="P645" s="30"/>
      <c r="Q645" s="103"/>
      <c r="R645" s="35"/>
      <c r="S645" s="37"/>
      <c r="T645" s="37"/>
      <c r="U645" s="36"/>
      <c r="V645" s="87"/>
      <c r="W645" s="36" t="str">
        <f>IF(NOTA[[#This Row],[HARGA/ CTN]]="",NOTA[[#This Row],[JUMLAH_H]],NOTA[[#This Row],[HARGA/ CTN]]*NOTA[[#This Row],[C]])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4" t="str">
        <f ca="1">IF(NOTA[ID_H]="","",INDEX(NOTA[TANGGAL],MATCH(,INDIRECT(ADDRESS(ROW(NOTA[TANGGAL]),COLUMN(NOTA[TANGGAL]))&amp;":"&amp;ADDRESS(ROW(),COLUMN(NOTA[TANGGAL]))),-1)))</f>
        <v/>
      </c>
      <c r="AG645" s="30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 t="str">
        <f ca="1">IF(NOTA[[#This Row],[TGL.NOTA]]="",IF(NOTA[[#This Row],[SUPPLIER_H]]="","",AI644),MONTH(NOTA[[#This Row],[TGL.NOTA]]))</f>
        <v/>
      </c>
      <c r="AJ645" s="16"/>
    </row>
    <row r="646" spans="1:36" ht="20.100000000000001" customHeight="1" x14ac:dyDescent="0.25">
      <c r="A6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39" t="str">
        <f>IF(NOTA[[#This Row],[ID_P]]="","",MATCH(NOTA[[#This Row],[ID_P]],[1]!B_MSK[N_ID],0))</f>
        <v/>
      </c>
      <c r="D646" s="39" t="str">
        <f ca="1">IF(NOTA[[#This Row],[NAMA BARANG]]="","",INDEX(NOTA[ID],MATCH(,INDIRECT(ADDRESS(ROW(NOTA[ID]),COLUMN(NOTA[ID]))&amp;":"&amp;ADDRESS(ROW(),COLUMN(NOTA[ID]))),-1)))</f>
        <v/>
      </c>
      <c r="E646" s="32"/>
      <c r="F646" s="31"/>
      <c r="G646" s="31"/>
      <c r="H646" s="33"/>
      <c r="I646" s="31"/>
      <c r="J646" s="34"/>
      <c r="K646" s="31"/>
      <c r="L646" s="31"/>
      <c r="M646" s="35"/>
      <c r="N646" s="31"/>
      <c r="O646" s="31"/>
      <c r="P646" s="30"/>
      <c r="Q646" s="103"/>
      <c r="R646" s="35"/>
      <c r="S646" s="37"/>
      <c r="T646" s="37"/>
      <c r="U646" s="36"/>
      <c r="V646" s="8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4" t="str">
        <f ca="1">IF(NOTA[ID_H]="","",INDEX(NOTA[TANGGAL],MATCH(,INDIRECT(ADDRESS(ROW(NOTA[TANGGAL]),COLUMN(NOTA[TANGGAL]))&amp;":"&amp;ADDRESS(ROW(),COLUMN(NOTA[TANGGAL]))),-1)))</f>
        <v/>
      </c>
      <c r="AG646" s="30" t="str">
        <f ca="1">IF(NOTA[[#This Row],[NAMA BARANG]]="","",INDEX(NOTA[SUPPLIER],MATCH(,INDIRECT(ADDRESS(ROW(NOTA[ID]),COLUMN(NOTA[ID]))&amp;":"&amp;ADDRESS(ROW(),COLUMN(NOTA[ID]))),-1)))</f>
        <v/>
      </c>
      <c r="AH646" s="16" t="str">
        <f ca="1">IF(NOTA[[#This Row],[ID]]="","",COUNTIF(NOTA[ID_H],NOTA[[#This Row],[ID_H]]))</f>
        <v/>
      </c>
      <c r="AI646" s="16" t="str">
        <f ca="1">IF(NOTA[[#This Row],[TGL.NOTA]]="",IF(NOTA[[#This Row],[SUPPLIER_H]]="","",AI645),MONTH(NOTA[[#This Row],[TGL.NOTA]]))</f>
        <v/>
      </c>
      <c r="AJ646" s="16"/>
    </row>
    <row r="647" spans="1:36" ht="20.100000000000001" customHeight="1" x14ac:dyDescent="0.25">
      <c r="A6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39" t="str">
        <f>IF(NOTA[[#This Row],[ID_P]]="","",MATCH(NOTA[[#This Row],[ID_P]],[1]!B_MSK[N_ID],0))</f>
        <v/>
      </c>
      <c r="D647" s="39" t="str">
        <f ca="1">IF(NOTA[[#This Row],[NAMA BARANG]]="","",INDEX(NOTA[ID],MATCH(,INDIRECT(ADDRESS(ROW(NOTA[ID]),COLUMN(NOTA[ID]))&amp;":"&amp;ADDRESS(ROW(),COLUMN(NOTA[ID]))),-1)))</f>
        <v/>
      </c>
      <c r="E647" s="32"/>
      <c r="F647" s="31"/>
      <c r="G647" s="31"/>
      <c r="H647" s="33"/>
      <c r="I647" s="31"/>
      <c r="J647" s="34"/>
      <c r="K647" s="31"/>
      <c r="L647" s="31"/>
      <c r="M647" s="35"/>
      <c r="N647" s="31"/>
      <c r="O647" s="31"/>
      <c r="P647" s="30"/>
      <c r="Q647" s="103"/>
      <c r="R647" s="35"/>
      <c r="S647" s="37"/>
      <c r="T647" s="37"/>
      <c r="U647" s="36"/>
      <c r="V647" s="87"/>
      <c r="W647" s="36" t="str">
        <f>IF(NOTA[[#This Row],[HARGA/ CTN]]="",NOTA[[#This Row],[JUMLAH_H]],NOTA[[#This Row],[HARGA/ CTN]]*NOTA[[#This Row],[C]])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4" t="str">
        <f ca="1">IF(NOTA[ID_H]="","",INDEX(NOTA[TANGGAL],MATCH(,INDIRECT(ADDRESS(ROW(NOTA[TANGGAL]),COLUMN(NOTA[TANGGAL]))&amp;":"&amp;ADDRESS(ROW(),COLUMN(NOTA[TANGGAL]))),-1)))</f>
        <v/>
      </c>
      <c r="AG647" s="30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 t="str">
        <f ca="1">IF(NOTA[[#This Row],[TGL.NOTA]]="",IF(NOTA[[#This Row],[SUPPLIER_H]]="","",AI646),MONTH(NOTA[[#This Row],[TGL.NOTA]]))</f>
        <v/>
      </c>
      <c r="AJ647" s="16"/>
    </row>
    <row r="648" spans="1:36" ht="20.100000000000001" customHeight="1" x14ac:dyDescent="0.25">
      <c r="A6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39" t="str">
        <f>IF(NOTA[[#This Row],[ID_P]]="","",MATCH(NOTA[[#This Row],[ID_P]],[1]!B_MSK[N_ID],0))</f>
        <v/>
      </c>
      <c r="D648" s="39" t="str">
        <f ca="1">IF(NOTA[[#This Row],[NAMA BARANG]]="","",INDEX(NOTA[ID],MATCH(,INDIRECT(ADDRESS(ROW(NOTA[ID]),COLUMN(NOTA[ID]))&amp;":"&amp;ADDRESS(ROW(),COLUMN(NOTA[ID]))),-1)))</f>
        <v/>
      </c>
      <c r="E648" s="32"/>
      <c r="F648" s="31"/>
      <c r="G648" s="31"/>
      <c r="H648" s="33"/>
      <c r="I648" s="31"/>
      <c r="J648" s="34"/>
      <c r="K648" s="31"/>
      <c r="L648" s="31"/>
      <c r="M648" s="35"/>
      <c r="N648" s="31"/>
      <c r="O648" s="31"/>
      <c r="P648" s="30"/>
      <c r="Q648" s="103"/>
      <c r="R648" s="35"/>
      <c r="S648" s="37"/>
      <c r="T648" s="37"/>
      <c r="U648" s="36"/>
      <c r="V648" s="87"/>
      <c r="W648" s="36" t="str">
        <f>IF(NOTA[[#This Row],[HARGA/ CTN]]="",NOTA[[#This Row],[JUMLAH_H]],NOTA[[#This Row],[HARGA/ CTN]]*NOTA[[#This Row],[C]])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4" t="str">
        <f ca="1">IF(NOTA[ID_H]="","",INDEX(NOTA[TANGGAL],MATCH(,INDIRECT(ADDRESS(ROW(NOTA[TANGGAL]),COLUMN(NOTA[TANGGAL]))&amp;":"&amp;ADDRESS(ROW(),COLUMN(NOTA[TANGGAL]))),-1)))</f>
        <v/>
      </c>
      <c r="AG648" s="30" t="str">
        <f ca="1">IF(NOTA[[#This Row],[NAMA BARANG]]="","",INDEX(NOTA[SUPPLIER],MATCH(,INDIRECT(ADDRESS(ROW(NOTA[ID]),COLUMN(NOTA[ID]))&amp;":"&amp;ADDRESS(ROW(),COLUMN(NOTA[ID]))),-1)))</f>
        <v/>
      </c>
      <c r="AH648" s="16" t="str">
        <f ca="1">IF(NOTA[[#This Row],[ID]]="","",COUNTIF(NOTA[ID_H],NOTA[[#This Row],[ID_H]]))</f>
        <v/>
      </c>
      <c r="AI648" s="16" t="str">
        <f ca="1">IF(NOTA[[#This Row],[TGL.NOTA]]="",IF(NOTA[[#This Row],[SUPPLIER_H]]="","",AI647),MONTH(NOTA[[#This Row],[TGL.NOTA]]))</f>
        <v/>
      </c>
      <c r="AJ648" s="16"/>
    </row>
    <row r="649" spans="1:36" ht="20.100000000000001" customHeight="1" x14ac:dyDescent="0.25">
      <c r="A6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39" t="str">
        <f>IF(NOTA[[#This Row],[ID_P]]="","",MATCH(NOTA[[#This Row],[ID_P]],[1]!B_MSK[N_ID],0))</f>
        <v/>
      </c>
      <c r="D649" s="39" t="str">
        <f ca="1">IF(NOTA[[#This Row],[NAMA BARANG]]="","",INDEX(NOTA[ID],MATCH(,INDIRECT(ADDRESS(ROW(NOTA[ID]),COLUMN(NOTA[ID]))&amp;":"&amp;ADDRESS(ROW(),COLUMN(NOTA[ID]))),-1)))</f>
        <v/>
      </c>
      <c r="E649" s="32"/>
      <c r="F649" s="31"/>
      <c r="G649" s="31"/>
      <c r="H649" s="33"/>
      <c r="I649" s="31"/>
      <c r="J649" s="34"/>
      <c r="K649" s="31"/>
      <c r="L649" s="31"/>
      <c r="M649" s="35"/>
      <c r="N649" s="31"/>
      <c r="O649" s="31"/>
      <c r="P649" s="116"/>
      <c r="Q649" s="103"/>
      <c r="R649" s="35"/>
      <c r="S649" s="37"/>
      <c r="T649" s="37"/>
      <c r="U649" s="36"/>
      <c r="V649" s="8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4" t="str">
        <f ca="1">IF(NOTA[ID_H]="","",INDEX(NOTA[TANGGAL],MATCH(,INDIRECT(ADDRESS(ROW(NOTA[TANGGAL]),COLUMN(NOTA[TANGGAL]))&amp;":"&amp;ADDRESS(ROW(),COLUMN(NOTA[TANGGAL]))),-1)))</f>
        <v/>
      </c>
      <c r="AG649" s="30" t="str">
        <f ca="1">IF(NOTA[[#This Row],[NAMA BARANG]]="","",INDEX(NOTA[SUPPLIER],MATCH(,INDIRECT(ADDRESS(ROW(NOTA[ID]),COLUMN(NOTA[ID]))&amp;":"&amp;ADDRESS(ROW(),COLUMN(NOTA[ID]))),-1)))</f>
        <v/>
      </c>
      <c r="AH649" s="16" t="str">
        <f ca="1">IF(NOTA[[#This Row],[ID]]="","",COUNTIF(NOTA[ID_H],NOTA[[#This Row],[ID_H]]))</f>
        <v/>
      </c>
      <c r="AI649" s="16" t="str">
        <f ca="1">IF(NOTA[[#This Row],[TGL.NOTA]]="",IF(NOTA[[#This Row],[SUPPLIER_H]]="","",AI648),MONTH(NOTA[[#This Row],[TGL.NOTA]]))</f>
        <v/>
      </c>
      <c r="AJ649" s="16"/>
    </row>
    <row r="650" spans="1:36" ht="20.100000000000001" customHeight="1" x14ac:dyDescent="0.25">
      <c r="A6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39" t="str">
        <f>IF(NOTA[[#This Row],[ID_P]]="","",MATCH(NOTA[[#This Row],[ID_P]],[1]!B_MSK[N_ID],0))</f>
        <v/>
      </c>
      <c r="D650" s="39" t="str">
        <f ca="1">IF(NOTA[[#This Row],[NAMA BARANG]]="","",INDEX(NOTA[ID],MATCH(,INDIRECT(ADDRESS(ROW(NOTA[ID]),COLUMN(NOTA[ID]))&amp;":"&amp;ADDRESS(ROW(),COLUMN(NOTA[ID]))),-1)))</f>
        <v/>
      </c>
      <c r="E650" s="32"/>
      <c r="F650" s="31"/>
      <c r="G650" s="31"/>
      <c r="H650" s="33"/>
      <c r="I650" s="31"/>
      <c r="J650" s="34"/>
      <c r="K650" s="31"/>
      <c r="L650" s="31"/>
      <c r="M650" s="35"/>
      <c r="N650" s="31"/>
      <c r="O650" s="31"/>
      <c r="P650" s="30"/>
      <c r="Q650" s="103"/>
      <c r="R650" s="35"/>
      <c r="S650" s="37"/>
      <c r="T650" s="37"/>
      <c r="U650" s="36"/>
      <c r="V650" s="8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4" t="str">
        <f ca="1">IF(NOTA[ID_H]="","",INDEX(NOTA[TANGGAL],MATCH(,INDIRECT(ADDRESS(ROW(NOTA[TANGGAL]),COLUMN(NOTA[TANGGAL]))&amp;":"&amp;ADDRESS(ROW(),COLUMN(NOTA[TANGGAL]))),-1)))</f>
        <v/>
      </c>
      <c r="AG650" s="30" t="str">
        <f ca="1">IF(NOTA[[#This Row],[NAMA BARANG]]="","",INDEX(NOTA[SUPPLIER],MATCH(,INDIRECT(ADDRESS(ROW(NOTA[ID]),COLUMN(NOTA[ID]))&amp;":"&amp;ADDRESS(ROW(),COLUMN(NOTA[ID]))),-1)))</f>
        <v/>
      </c>
      <c r="AH650" s="16" t="str">
        <f ca="1">IF(NOTA[[#This Row],[ID]]="","",COUNTIF(NOTA[ID_H],NOTA[[#This Row],[ID_H]]))</f>
        <v/>
      </c>
      <c r="AI650" s="16" t="str">
        <f ca="1">IF(NOTA[[#This Row],[TGL.NOTA]]="",IF(NOTA[[#This Row],[SUPPLIER_H]]="","",AI649),MONTH(NOTA[[#This Row],[TGL.NOTA]]))</f>
        <v/>
      </c>
      <c r="AJ650" s="16"/>
    </row>
    <row r="651" spans="1:36" ht="20.100000000000001" customHeight="1" x14ac:dyDescent="0.25">
      <c r="A6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39" t="str">
        <f>IF(NOTA[[#This Row],[ID_P]]="","",MATCH(NOTA[[#This Row],[ID_P]],[1]!B_MSK[N_ID],0))</f>
        <v/>
      </c>
      <c r="D651" s="39" t="str">
        <f ca="1">IF(NOTA[[#This Row],[NAMA BARANG]]="","",INDEX(NOTA[ID],MATCH(,INDIRECT(ADDRESS(ROW(NOTA[ID]),COLUMN(NOTA[ID]))&amp;":"&amp;ADDRESS(ROW(),COLUMN(NOTA[ID]))),-1)))</f>
        <v/>
      </c>
      <c r="E651" s="32"/>
      <c r="F651" s="31"/>
      <c r="G651" s="31"/>
      <c r="H651" s="33"/>
      <c r="I651" s="31"/>
      <c r="J651" s="34"/>
      <c r="K651" s="31"/>
      <c r="L651" s="31"/>
      <c r="M651" s="35"/>
      <c r="N651" s="31"/>
      <c r="O651" s="31"/>
      <c r="P651" s="30"/>
      <c r="Q651" s="103"/>
      <c r="R651" s="35"/>
      <c r="S651" s="37"/>
      <c r="T651" s="37"/>
      <c r="U651" s="36"/>
      <c r="V651" s="8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4" t="str">
        <f ca="1">IF(NOTA[ID_H]="","",INDEX(NOTA[TANGGAL],MATCH(,INDIRECT(ADDRESS(ROW(NOTA[TANGGAL]),COLUMN(NOTA[TANGGAL]))&amp;":"&amp;ADDRESS(ROW(),COLUMN(NOTA[TANGGAL]))),-1)))</f>
        <v/>
      </c>
      <c r="AG651" s="30" t="str">
        <f ca="1">IF(NOTA[[#This Row],[NAMA BARANG]]="","",INDEX(NOTA[SUPPLIER],MATCH(,INDIRECT(ADDRESS(ROW(NOTA[ID]),COLUMN(NOTA[ID]))&amp;":"&amp;ADDRESS(ROW(),COLUMN(NOTA[ID]))),-1)))</f>
        <v/>
      </c>
      <c r="AH651" s="16" t="str">
        <f ca="1">IF(NOTA[[#This Row],[ID]]="","",COUNTIF(NOTA[ID_H],NOTA[[#This Row],[ID_H]]))</f>
        <v/>
      </c>
      <c r="AI651" s="16" t="str">
        <f ca="1">IF(NOTA[[#This Row],[TGL.NOTA]]="",IF(NOTA[[#This Row],[SUPPLIER_H]]="","",AI650),MONTH(NOTA[[#This Row],[TGL.NOTA]]))</f>
        <v/>
      </c>
      <c r="AJ651" s="16"/>
    </row>
    <row r="652" spans="1:36" ht="20.100000000000001" customHeight="1" x14ac:dyDescent="0.25">
      <c r="A6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39" t="str">
        <f>IF(NOTA[[#This Row],[ID_P]]="","",MATCH(NOTA[[#This Row],[ID_P]],[1]!B_MSK[N_ID],0))</f>
        <v/>
      </c>
      <c r="D652" s="39" t="str">
        <f ca="1">IF(NOTA[[#This Row],[NAMA BARANG]]="","",INDEX(NOTA[ID],MATCH(,INDIRECT(ADDRESS(ROW(NOTA[ID]),COLUMN(NOTA[ID]))&amp;":"&amp;ADDRESS(ROW(),COLUMN(NOTA[ID]))),-1)))</f>
        <v/>
      </c>
      <c r="E652" s="32"/>
      <c r="F652" s="31"/>
      <c r="G652" s="31"/>
      <c r="H652" s="33"/>
      <c r="I652" s="31"/>
      <c r="J652" s="34"/>
      <c r="K652" s="31"/>
      <c r="L652" s="31"/>
      <c r="M652" s="35"/>
      <c r="N652" s="31"/>
      <c r="O652" s="31"/>
      <c r="P652" s="30"/>
      <c r="Q652" s="103"/>
      <c r="R652" s="35"/>
      <c r="S652" s="37"/>
      <c r="T652" s="37"/>
      <c r="U652" s="36"/>
      <c r="V652" s="8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4" t="str">
        <f ca="1">IF(NOTA[ID_H]="","",INDEX(NOTA[TANGGAL],MATCH(,INDIRECT(ADDRESS(ROW(NOTA[TANGGAL]),COLUMN(NOTA[TANGGAL]))&amp;":"&amp;ADDRESS(ROW(),COLUMN(NOTA[TANGGAL]))),-1)))</f>
        <v/>
      </c>
      <c r="AG652" s="30" t="str">
        <f ca="1">IF(NOTA[[#This Row],[NAMA BARANG]]="","",INDEX(NOTA[SUPPLIER],MATCH(,INDIRECT(ADDRESS(ROW(NOTA[ID]),COLUMN(NOTA[ID]))&amp;":"&amp;ADDRESS(ROW(),COLUMN(NOTA[ID]))),-1)))</f>
        <v/>
      </c>
      <c r="AH652" s="16" t="str">
        <f ca="1">IF(NOTA[[#This Row],[ID]]="","",COUNTIF(NOTA[ID_H],NOTA[[#This Row],[ID_H]]))</f>
        <v/>
      </c>
      <c r="AI652" s="16" t="str">
        <f ca="1">IF(NOTA[[#This Row],[TGL.NOTA]]="",IF(NOTA[[#This Row],[SUPPLIER_H]]="","",AI651),MONTH(NOTA[[#This Row],[TGL.NOTA]]))</f>
        <v/>
      </c>
      <c r="AJ652" s="16"/>
    </row>
    <row r="653" spans="1:36" ht="20.100000000000001" customHeight="1" x14ac:dyDescent="0.25">
      <c r="A6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39" t="str">
        <f>IF(NOTA[[#This Row],[ID_P]]="","",MATCH(NOTA[[#This Row],[ID_P]],[1]!B_MSK[N_ID],0))</f>
        <v/>
      </c>
      <c r="D653" s="39" t="str">
        <f ca="1">IF(NOTA[[#This Row],[NAMA BARANG]]="","",INDEX(NOTA[ID],MATCH(,INDIRECT(ADDRESS(ROW(NOTA[ID]),COLUMN(NOTA[ID]))&amp;":"&amp;ADDRESS(ROW(),COLUMN(NOTA[ID]))),-1)))</f>
        <v/>
      </c>
      <c r="E653" s="32"/>
      <c r="F653" s="31"/>
      <c r="G653" s="31"/>
      <c r="H653" s="33"/>
      <c r="I653" s="31"/>
      <c r="J653" s="34"/>
      <c r="K653" s="31"/>
      <c r="L653" s="31"/>
      <c r="M653" s="35"/>
      <c r="N653" s="31"/>
      <c r="O653" s="31"/>
      <c r="P653" s="30"/>
      <c r="Q653" s="103"/>
      <c r="R653" s="35"/>
      <c r="S653" s="37"/>
      <c r="T653" s="37"/>
      <c r="U653" s="36"/>
      <c r="V653" s="8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4" t="str">
        <f ca="1">IF(NOTA[ID_H]="","",INDEX(NOTA[TANGGAL],MATCH(,INDIRECT(ADDRESS(ROW(NOTA[TANGGAL]),COLUMN(NOTA[TANGGAL]))&amp;":"&amp;ADDRESS(ROW(),COLUMN(NOTA[TANGGAL]))),-1)))</f>
        <v/>
      </c>
      <c r="AG653" s="30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39" t="str">
        <f>IF(NOTA[[#This Row],[ID_P]]="","",MATCH(NOTA[[#This Row],[ID_P]],[1]!B_MSK[N_ID],0))</f>
        <v/>
      </c>
      <c r="D654" s="39" t="str">
        <f ca="1">IF(NOTA[[#This Row],[NAMA BARANG]]="","",INDEX(NOTA[ID],MATCH(,INDIRECT(ADDRESS(ROW(NOTA[ID]),COLUMN(NOTA[ID]))&amp;":"&amp;ADDRESS(ROW(),COLUMN(NOTA[ID]))),-1)))</f>
        <v/>
      </c>
      <c r="E654" s="32"/>
      <c r="F654" s="31"/>
      <c r="G654" s="31"/>
      <c r="H654" s="33"/>
      <c r="I654" s="31"/>
      <c r="J654" s="34"/>
      <c r="K654" s="31"/>
      <c r="L654" s="31"/>
      <c r="M654" s="35"/>
      <c r="N654" s="31"/>
      <c r="O654" s="31"/>
      <c r="P654" s="30"/>
      <c r="Q654" s="103"/>
      <c r="R654" s="35"/>
      <c r="S654" s="37"/>
      <c r="T654" s="37"/>
      <c r="U654" s="36"/>
      <c r="V654" s="8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4" t="str">
        <f ca="1">IF(NOTA[ID_H]="","",INDEX(NOTA[TANGGAL],MATCH(,INDIRECT(ADDRESS(ROW(NOTA[TANGGAL]),COLUMN(NOTA[TANGGAL]))&amp;":"&amp;ADDRESS(ROW(),COLUMN(NOTA[TANGGAL]))),-1)))</f>
        <v/>
      </c>
      <c r="AG654" s="30" t="str">
        <f ca="1">IF(NOTA[[#This Row],[NAMA BARANG]]="","",INDEX(NOTA[SUPPLIER],MATCH(,INDIRECT(ADDRESS(ROW(NOTA[ID]),COLUMN(NOTA[ID]))&amp;":"&amp;ADDRESS(ROW(),COLUMN(NOTA[ID]))),-1)))</f>
        <v/>
      </c>
      <c r="AH654" s="16" t="str">
        <f ca="1">IF(NOTA[[#This Row],[ID]]="","",COUNTIF(NOTA[ID_H],NOTA[[#This Row],[ID_H]]))</f>
        <v/>
      </c>
      <c r="AI654" s="16" t="str">
        <f ca="1">IF(NOTA[[#This Row],[TGL.NOTA]]="",IF(NOTA[[#This Row],[SUPPLIER_H]]="","",AI653),MONTH(NOTA[[#This Row],[TGL.NOTA]]))</f>
        <v/>
      </c>
      <c r="AJ654" s="16"/>
    </row>
    <row r="655" spans="1:36" ht="20.100000000000001" customHeight="1" x14ac:dyDescent="0.25">
      <c r="A65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62" t="str">
        <f>IF(NOTA[[#This Row],[ID_P]]="","",MATCH(NOTA[[#This Row],[ID_P]],[1]!B_MSK[N_ID],0))</f>
        <v/>
      </c>
      <c r="D655" s="62" t="str">
        <f ca="1">IF(NOTA[[#This Row],[NAMA BARANG]]="","",INDEX(NOTA[ID],MATCH(,INDIRECT(ADDRESS(ROW(NOTA[ID]),COLUMN(NOTA[ID]))&amp;":"&amp;ADDRESS(ROW(),COLUMN(NOTA[ID]))),-1)))</f>
        <v/>
      </c>
      <c r="E655" s="67"/>
      <c r="F655" s="48"/>
      <c r="G655" s="48"/>
      <c r="H655" s="49"/>
      <c r="I655" s="48"/>
      <c r="J655" s="50"/>
      <c r="K655" s="48"/>
      <c r="L655" s="31"/>
      <c r="M655" s="63"/>
      <c r="N655" s="48"/>
      <c r="O655" s="48"/>
      <c r="P655" s="61"/>
      <c r="Q655" s="166"/>
      <c r="R655" s="35"/>
      <c r="S655" s="65"/>
      <c r="T655" s="65"/>
      <c r="U655" s="64"/>
      <c r="V655" s="87"/>
      <c r="W655" s="64" t="str">
        <f>IF(NOTA[[#This Row],[HARGA/ CTN]]="",NOTA[[#This Row],[JUMLAH_H]],NOTA[[#This Row],[HARGA/ CTN]]*NOTA[[#This Row],[C]])</f>
        <v/>
      </c>
      <c r="X655" s="64" t="str">
        <f>IF(NOTA[[#This Row],[JUMLAH]]="","",NOTA[[#This Row],[JUMLAH]]*NOTA[[#This Row],[DISC 1]])</f>
        <v/>
      </c>
      <c r="Y655" s="64" t="str">
        <f>IF(NOTA[[#This Row],[JUMLAH]]="","",(NOTA[[#This Row],[JUMLAH]]-NOTA[[#This Row],[DISC 1-]])*NOTA[[#This Row],[DISC 2]])</f>
        <v/>
      </c>
      <c r="Z655" s="64" t="str">
        <f>IF(NOTA[[#This Row],[JUMLAH]]="","",NOTA[[#This Row],[DISC 1-]]+NOTA[[#This Row],[DISC 2-]])</f>
        <v/>
      </c>
      <c r="AA655" s="64" t="str">
        <f>IF(NOTA[[#This Row],[JUMLAH]]="","",NOTA[[#This Row],[JUMLAH]]-NOTA[[#This Row],[DISC]])</f>
        <v/>
      </c>
      <c r="AB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64" t="str">
        <f>IF(OR(NOTA[[#This Row],[QTY]]="",NOTA[[#This Row],[HARGA SATUAN]]="",),"",NOTA[[#This Row],[QTY]]*NOTA[[#This Row],[HARGA SATUAN]])</f>
        <v/>
      </c>
      <c r="AF655" s="50" t="str">
        <f ca="1">IF(NOTA[ID_H]="","",INDEX(NOTA[TANGGAL],MATCH(,INDIRECT(ADDRESS(ROW(NOTA[TANGGAL]),COLUMN(NOTA[TANGGAL]))&amp;":"&amp;ADDRESS(ROW(),COLUMN(NOTA[TANGGAL]))),-1)))</f>
        <v/>
      </c>
      <c r="AG655" s="61" t="str">
        <f ca="1">IF(NOTA[[#This Row],[NAMA BARANG]]="","",INDEX(NOTA[SUPPLIER],MATCH(,INDIRECT(ADDRESS(ROW(NOTA[ID]),COLUMN(NOTA[ID]))&amp;":"&amp;ADDRESS(ROW(),COLUMN(NOTA[ID]))),-1)))</f>
        <v/>
      </c>
      <c r="AH655" s="16" t="str">
        <f ca="1">IF(NOTA[[#This Row],[ID]]="","",COUNTIF(NOTA[ID_H],NOTA[[#This Row],[ID_H]]))</f>
        <v/>
      </c>
      <c r="AI655" s="16" t="str">
        <f ca="1">IF(NOTA[[#This Row],[TGL.NOTA]]="",IF(NOTA[[#This Row],[SUPPLIER_H]]="","",AI654),MONTH(NOTA[[#This Row],[TGL.NOTA]]))</f>
        <v/>
      </c>
      <c r="AJ655" s="16"/>
    </row>
    <row r="656" spans="1:36" ht="20.100000000000001" customHeight="1" x14ac:dyDescent="0.25">
      <c r="A6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2" t="str">
        <f>IF(NOTA[[#This Row],[ID_P]]="","",MATCH(NOTA[[#This Row],[ID_P]],[1]!B_MSK[N_ID],0))</f>
        <v/>
      </c>
      <c r="D656" s="62" t="str">
        <f ca="1">IF(NOTA[[#This Row],[NAMA BARANG]]="","",INDEX(NOTA[ID],MATCH(,INDIRECT(ADDRESS(ROW(NOTA[ID]),COLUMN(NOTA[ID]))&amp;":"&amp;ADDRESS(ROW(),COLUMN(NOTA[ID]))),-1)))</f>
        <v/>
      </c>
      <c r="E656" s="67"/>
      <c r="F656" s="31"/>
      <c r="G656" s="31"/>
      <c r="H656" s="33"/>
      <c r="I656" s="48"/>
      <c r="J656" s="50"/>
      <c r="K656" s="48"/>
      <c r="L656" s="31"/>
      <c r="M656" s="63"/>
      <c r="N656" s="48"/>
      <c r="O656" s="31"/>
      <c r="P656" s="61"/>
      <c r="Q656" s="166"/>
      <c r="R656" s="35"/>
      <c r="S656" s="65"/>
      <c r="T656" s="65"/>
      <c r="U656" s="64"/>
      <c r="V656" s="87"/>
      <c r="W656" s="64" t="str">
        <f>IF(NOTA[[#This Row],[HARGA/ CTN]]="",NOTA[[#This Row],[JUMLAH_H]],NOTA[[#This Row],[HARGA/ CTN]]*NOTA[[#This Row],[C]])</f>
        <v/>
      </c>
      <c r="X656" s="64" t="str">
        <f>IF(NOTA[[#This Row],[JUMLAH]]="","",NOTA[[#This Row],[JUMLAH]]*NOTA[[#This Row],[DISC 1]])</f>
        <v/>
      </c>
      <c r="Y656" s="64" t="str">
        <f>IF(NOTA[[#This Row],[JUMLAH]]="","",(NOTA[[#This Row],[JUMLAH]]-NOTA[[#This Row],[DISC 1-]])*NOTA[[#This Row],[DISC 2]])</f>
        <v/>
      </c>
      <c r="Z656" s="64" t="str">
        <f>IF(NOTA[[#This Row],[JUMLAH]]="","",NOTA[[#This Row],[DISC 1-]]+NOTA[[#This Row],[DISC 2-]])</f>
        <v/>
      </c>
      <c r="AA656" s="64" t="str">
        <f>IF(NOTA[[#This Row],[JUMLAH]]="","",NOTA[[#This Row],[JUMLAH]]-NOTA[[#This Row],[DISC]])</f>
        <v/>
      </c>
      <c r="AB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64" t="str">
        <f>IF(OR(NOTA[[#This Row],[QTY]]="",NOTA[[#This Row],[HARGA SATUAN]]="",),"",NOTA[[#This Row],[QTY]]*NOTA[[#This Row],[HARGA SATUAN]])</f>
        <v/>
      </c>
      <c r="AF656" s="50" t="str">
        <f ca="1">IF(NOTA[ID_H]="","",INDEX(NOTA[TANGGAL],MATCH(,INDIRECT(ADDRESS(ROW(NOTA[TANGGAL]),COLUMN(NOTA[TANGGAL]))&amp;":"&amp;ADDRESS(ROW(),COLUMN(NOTA[TANGGAL]))),-1)))</f>
        <v/>
      </c>
      <c r="AG656" s="61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2" t="str">
        <f>IF(NOTA[[#This Row],[ID_P]]="","",MATCH(NOTA[[#This Row],[ID_P]],[1]!B_MSK[N_ID],0))</f>
        <v/>
      </c>
      <c r="D657" s="62" t="str">
        <f ca="1">IF(NOTA[[#This Row],[NAMA BARANG]]="","",INDEX(NOTA[ID],MATCH(,INDIRECT(ADDRESS(ROW(NOTA[ID]),COLUMN(NOTA[ID]))&amp;":"&amp;ADDRESS(ROW(),COLUMN(NOTA[ID]))),-1)))</f>
        <v/>
      </c>
      <c r="E657" s="67"/>
      <c r="F657" s="48"/>
      <c r="G657" s="48"/>
      <c r="H657" s="49"/>
      <c r="I657" s="48"/>
      <c r="J657" s="50"/>
      <c r="K657" s="48"/>
      <c r="L657" s="48"/>
      <c r="M657" s="63"/>
      <c r="N657" s="48"/>
      <c r="O657" s="31"/>
      <c r="P657" s="61"/>
      <c r="Q657" s="166"/>
      <c r="R657" s="35"/>
      <c r="S657" s="65"/>
      <c r="T657" s="65"/>
      <c r="U657" s="64"/>
      <c r="V657" s="87"/>
      <c r="W657" s="64" t="str">
        <f>IF(NOTA[[#This Row],[HARGA/ CTN]]="",NOTA[[#This Row],[JUMLAH_H]],NOTA[[#This Row],[HARGA/ CTN]]*NOTA[[#This Row],[C]])</f>
        <v/>
      </c>
      <c r="X657" s="64" t="str">
        <f>IF(NOTA[[#This Row],[JUMLAH]]="","",NOTA[[#This Row],[JUMLAH]]*NOTA[[#This Row],[DISC 1]])</f>
        <v/>
      </c>
      <c r="Y657" s="64" t="str">
        <f>IF(NOTA[[#This Row],[JUMLAH]]="","",(NOTA[[#This Row],[JUMLAH]]-NOTA[[#This Row],[DISC 1-]])*NOTA[[#This Row],[DISC 2]])</f>
        <v/>
      </c>
      <c r="Z657" s="64" t="str">
        <f>IF(NOTA[[#This Row],[JUMLAH]]="","",NOTA[[#This Row],[DISC 1-]]+NOTA[[#This Row],[DISC 2-]])</f>
        <v/>
      </c>
      <c r="AA657" s="64" t="str">
        <f>IF(NOTA[[#This Row],[JUMLAH]]="","",NOTA[[#This Row],[JUMLAH]]-NOTA[[#This Row],[DISC]])</f>
        <v/>
      </c>
      <c r="AB6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64" t="str">
        <f>IF(OR(NOTA[[#This Row],[QTY]]="",NOTA[[#This Row],[HARGA SATUAN]]="",),"",NOTA[[#This Row],[QTY]]*NOTA[[#This Row],[HARGA SATUAN]])</f>
        <v/>
      </c>
      <c r="AF657" s="50" t="str">
        <f ca="1">IF(NOTA[ID_H]="","",INDEX(NOTA[TANGGAL],MATCH(,INDIRECT(ADDRESS(ROW(NOTA[TANGGAL]),COLUMN(NOTA[TANGGAL]))&amp;":"&amp;ADDRESS(ROW(),COLUMN(NOTA[TANGGAL]))),-1)))</f>
        <v/>
      </c>
      <c r="AG657" s="61" t="str">
        <f ca="1">IF(NOTA[[#This Row],[NAMA BARANG]]="","",INDEX(NOTA[SUPPLIER],MATCH(,INDIRECT(ADDRESS(ROW(NOTA[ID]),COLUMN(NOTA[ID]))&amp;":"&amp;ADDRESS(ROW(),COLUMN(NOTA[ID]))),-1)))</f>
        <v/>
      </c>
      <c r="AH657" s="16" t="str">
        <f ca="1">IF(NOTA[[#This Row],[ID]]="","",COUNTIF(NOTA[ID_H],NOTA[[#This Row],[ID_H]]))</f>
        <v/>
      </c>
      <c r="AI657" s="16" t="str">
        <f ca="1">IF(NOTA[[#This Row],[TGL.NOTA]]="",IF(NOTA[[#This Row],[SUPPLIER_H]]="","",AI656),MONTH(NOTA[[#This Row],[TGL.NOTA]]))</f>
        <v/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31"/>
      <c r="G658" s="31"/>
      <c r="H658" s="33"/>
      <c r="I658" s="48"/>
      <c r="J658" s="50"/>
      <c r="K658" s="48"/>
      <c r="L658" s="31"/>
      <c r="M658" s="63"/>
      <c r="N658" s="48"/>
      <c r="O658" s="31"/>
      <c r="P658" s="61"/>
      <c r="Q658" s="166"/>
      <c r="R658" s="35"/>
      <c r="S658" s="65"/>
      <c r="T658" s="65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2" t="str">
        <f>IF(NOTA[[#This Row],[ID_P]]="","",MATCH(NOTA[[#This Row],[ID_P]],[1]!B_MSK[N_ID],0))</f>
        <v/>
      </c>
      <c r="D659" s="62" t="str">
        <f ca="1">IF(NOTA[[#This Row],[NAMA BARANG]]="","",INDEX(NOTA[ID],MATCH(,INDIRECT(ADDRESS(ROW(NOTA[ID]),COLUMN(NOTA[ID]))&amp;":"&amp;ADDRESS(ROW(),COLUMN(NOTA[ID]))),-1)))</f>
        <v/>
      </c>
      <c r="E659" s="67"/>
      <c r="F659" s="48"/>
      <c r="G659" s="48"/>
      <c r="H659" s="49"/>
      <c r="I659" s="48"/>
      <c r="J659" s="50"/>
      <c r="K659" s="48"/>
      <c r="L659" s="31"/>
      <c r="M659" s="63"/>
      <c r="N659" s="48"/>
      <c r="O659" s="31"/>
      <c r="P659" s="61"/>
      <c r="Q659" s="166"/>
      <c r="R659" s="35"/>
      <c r="S659" s="65"/>
      <c r="T659" s="65"/>
      <c r="U659" s="64"/>
      <c r="V659" s="87"/>
      <c r="W659" s="64" t="str">
        <f>IF(NOTA[[#This Row],[HARGA/ CTN]]="",NOTA[[#This Row],[JUMLAH_H]],NOTA[[#This Row],[HARGA/ CTN]]*NOTA[[#This Row],[C]])</f>
        <v/>
      </c>
      <c r="X659" s="64" t="str">
        <f>IF(NOTA[[#This Row],[JUMLAH]]="","",NOTA[[#This Row],[JUMLAH]]*NOTA[[#This Row],[DISC 1]])</f>
        <v/>
      </c>
      <c r="Y659" s="64" t="str">
        <f>IF(NOTA[[#This Row],[JUMLAH]]="","",(NOTA[[#This Row],[JUMLAH]]-NOTA[[#This Row],[DISC 1-]])*NOTA[[#This Row],[DISC 2]])</f>
        <v/>
      </c>
      <c r="Z659" s="64" t="str">
        <f>IF(NOTA[[#This Row],[JUMLAH]]="","",NOTA[[#This Row],[DISC 1-]]+NOTA[[#This Row],[DISC 2-]])</f>
        <v/>
      </c>
      <c r="AA659" s="64" t="str">
        <f>IF(NOTA[[#This Row],[JUMLAH]]="","",NOTA[[#This Row],[JUMLAH]]-NOTA[[#This Row],[DISC]])</f>
        <v/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64" t="str">
        <f>IF(OR(NOTA[[#This Row],[QTY]]="",NOTA[[#This Row],[HARGA SATUAN]]="",),"",NOTA[[#This Row],[QTY]]*NOTA[[#This Row],[HARGA SATUAN]])</f>
        <v/>
      </c>
      <c r="AF659" s="50" t="str">
        <f ca="1">IF(NOTA[ID_H]="","",INDEX(NOTA[TANGGAL],MATCH(,INDIRECT(ADDRESS(ROW(NOTA[TANGGAL]),COLUMN(NOTA[TANGGAL]))&amp;":"&amp;ADDRESS(ROW(),COLUMN(NOTA[TANGGAL]))),-1)))</f>
        <v/>
      </c>
      <c r="AG659" s="61" t="str">
        <f ca="1">IF(NOTA[[#This Row],[NAMA BARANG]]="","",INDEX(NOTA[SUPPLIER],MATCH(,INDIRECT(ADDRESS(ROW(NOTA[ID]),COLUMN(NOTA[ID]))&amp;":"&amp;ADDRESS(ROW(),COLUMN(NOTA[ID]))),-1)))</f>
        <v/>
      </c>
      <c r="AH659" s="16" t="str">
        <f ca="1">IF(NOTA[[#This Row],[ID]]="","",COUNTIF(NOTA[ID_H],NOTA[[#This Row],[ID_H]]))</f>
        <v/>
      </c>
      <c r="AI659" s="16" t="str">
        <f ca="1">IF(NOTA[[#This Row],[TGL.NOTA]]="",IF(NOTA[[#This Row],[SUPPLIER_H]]="","",AI658),MONTH(NOTA[[#This Row],[TGL.NOTA]]))</f>
        <v/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 t="str">
        <f ca="1">IF(NOTA[[#This Row],[NAMA BARANG]]="","",INDEX(NOTA[ID],MATCH(,INDIRECT(ADDRESS(ROW(NOTA[ID]),COLUMN(NOTA[ID]))&amp;":"&amp;ADDRESS(ROW(),COLUMN(NOTA[ID]))),-1)))</f>
        <v/>
      </c>
      <c r="E660" s="67"/>
      <c r="F660" s="48"/>
      <c r="G660" s="48"/>
      <c r="H660" s="49"/>
      <c r="I660" s="48"/>
      <c r="J660" s="50"/>
      <c r="K660" s="48"/>
      <c r="L660" s="31"/>
      <c r="M660" s="63"/>
      <c r="N660" s="48"/>
      <c r="O660" s="31"/>
      <c r="P660" s="61"/>
      <c r="Q660" s="166"/>
      <c r="R660" s="35"/>
      <c r="S660" s="65"/>
      <c r="T660" s="65"/>
      <c r="U660" s="64"/>
      <c r="V660" s="87"/>
      <c r="W660" s="64" t="str">
        <f>IF(NOTA[[#This Row],[HARGA/ CTN]]="",NOTA[[#This Row],[JUMLAH_H]],NOTA[[#This Row],[HARGA/ CTN]]*NOTA[[#This Row],[C]])</f>
        <v/>
      </c>
      <c r="X660" s="64" t="str">
        <f>IF(NOTA[[#This Row],[JUMLAH]]="","",NOTA[[#This Row],[JUMLAH]]*NOTA[[#This Row],[DISC 1]])</f>
        <v/>
      </c>
      <c r="Y660" s="64" t="str">
        <f>IF(NOTA[[#This Row],[JUMLAH]]="","",(NOTA[[#This Row],[JUMLAH]]-NOTA[[#This Row],[DISC 1-]])*NOTA[[#This Row],[DISC 2]])</f>
        <v/>
      </c>
      <c r="Z660" s="64" t="str">
        <f>IF(NOTA[[#This Row],[JUMLAH]]="","",NOTA[[#This Row],[DISC 1-]]+NOTA[[#This Row],[DISC 2-]])</f>
        <v/>
      </c>
      <c r="AA660" s="64" t="str">
        <f>IF(NOTA[[#This Row],[JUMLAH]]="","",NOTA[[#This Row],[JUMLAH]]-NOTA[[#This Row],[DISC]])</f>
        <v/>
      </c>
      <c r="AB6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64" t="str">
        <f>IF(OR(NOTA[[#This Row],[QTY]]="",NOTA[[#This Row],[HARGA SATUAN]]="",),"",NOTA[[#This Row],[QTY]]*NOTA[[#This Row],[HARGA SATUAN]])</f>
        <v/>
      </c>
      <c r="AF660" s="50" t="str">
        <f ca="1">IF(NOTA[ID_H]="","",INDEX(NOTA[TANGGAL],MATCH(,INDIRECT(ADDRESS(ROW(NOTA[TANGGAL]),COLUMN(NOTA[TANGGAL]))&amp;":"&amp;ADDRESS(ROW(),COLUMN(NOTA[TANGGAL]))),-1)))</f>
        <v/>
      </c>
      <c r="AG660" s="61" t="str">
        <f ca="1">IF(NOTA[[#This Row],[NAMA BARANG]]="","",INDEX(NOTA[SUPPLIER],MATCH(,INDIRECT(ADDRESS(ROW(NOTA[ID]),COLUMN(NOTA[ID]))&amp;":"&amp;ADDRESS(ROW(),COLUMN(NOTA[ID]))),-1)))</f>
        <v/>
      </c>
      <c r="AH660" s="16" t="str">
        <f ca="1">IF(NOTA[[#This Row],[ID]]="","",COUNTIF(NOTA[ID_H],NOTA[[#This Row],[ID_H]]))</f>
        <v/>
      </c>
      <c r="AI660" s="16" t="str">
        <f ca="1">IF(NOTA[[#This Row],[TGL.NOTA]]="",IF(NOTA[[#This Row],[SUPPLIER_H]]="","",AI659),MONTH(NOTA[[#This Row],[TGL.NOTA]]))</f>
        <v/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67"/>
      <c r="F661" s="48"/>
      <c r="G661" s="48"/>
      <c r="H661" s="49"/>
      <c r="I661" s="48"/>
      <c r="J661" s="50"/>
      <c r="K661" s="48"/>
      <c r="L661" s="31"/>
      <c r="M661" s="63"/>
      <c r="N661" s="48"/>
      <c r="O661" s="31"/>
      <c r="P661" s="61"/>
      <c r="Q661" s="166"/>
      <c r="R661" s="35"/>
      <c r="S661" s="65"/>
      <c r="T661" s="65"/>
      <c r="U661" s="64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62" t="str">
        <f>IF(NOTA[[#This Row],[ID_P]]="","",MATCH(NOTA[[#This Row],[ID_P]],[1]!B_MSK[N_ID],0))</f>
        <v/>
      </c>
      <c r="D662" s="62" t="str">
        <f ca="1">IF(NOTA[[#This Row],[NAMA BARANG]]="","",INDEX(NOTA[ID],MATCH(,INDIRECT(ADDRESS(ROW(NOTA[ID]),COLUMN(NOTA[ID]))&amp;":"&amp;ADDRESS(ROW(),COLUMN(NOTA[ID]))),-1)))</f>
        <v/>
      </c>
      <c r="E662" s="67"/>
      <c r="F662" s="48"/>
      <c r="G662" s="48"/>
      <c r="H662" s="49"/>
      <c r="I662" s="48"/>
      <c r="J662" s="50"/>
      <c r="K662" s="48"/>
      <c r="L662" s="31"/>
      <c r="M662" s="63"/>
      <c r="N662" s="48"/>
      <c r="O662" s="31"/>
      <c r="P662" s="61"/>
      <c r="Q662" s="166"/>
      <c r="R662" s="35"/>
      <c r="S662" s="65"/>
      <c r="T662" s="65"/>
      <c r="U662" s="64"/>
      <c r="V662" s="87"/>
      <c r="W662" s="64" t="str">
        <f>IF(NOTA[[#This Row],[HARGA/ CTN]]="",NOTA[[#This Row],[JUMLAH_H]],NOTA[[#This Row],[HARGA/ CTN]]*NOTA[[#This Row],[C]])</f>
        <v/>
      </c>
      <c r="X662" s="64" t="str">
        <f>IF(NOTA[[#This Row],[JUMLAH]]="","",NOTA[[#This Row],[JUMLAH]]*NOTA[[#This Row],[DISC 1]])</f>
        <v/>
      </c>
      <c r="Y662" s="64" t="str">
        <f>IF(NOTA[[#This Row],[JUMLAH]]="","",(NOTA[[#This Row],[JUMLAH]]-NOTA[[#This Row],[DISC 1-]])*NOTA[[#This Row],[DISC 2]])</f>
        <v/>
      </c>
      <c r="Z662" s="64" t="str">
        <f>IF(NOTA[[#This Row],[JUMLAH]]="","",NOTA[[#This Row],[DISC 1-]]+NOTA[[#This Row],[DISC 2-]])</f>
        <v/>
      </c>
      <c r="AA662" s="64" t="str">
        <f>IF(NOTA[[#This Row],[JUMLAH]]="","",NOTA[[#This Row],[JUMLAH]]-NOTA[[#This Row],[DISC]])</f>
        <v/>
      </c>
      <c r="AB6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64" t="str">
        <f>IF(OR(NOTA[[#This Row],[QTY]]="",NOTA[[#This Row],[HARGA SATUAN]]="",),"",NOTA[[#This Row],[QTY]]*NOTA[[#This Row],[HARGA SATUAN]])</f>
        <v/>
      </c>
      <c r="AF662" s="50" t="str">
        <f ca="1">IF(NOTA[ID_H]="","",INDEX(NOTA[TANGGAL],MATCH(,INDIRECT(ADDRESS(ROW(NOTA[TANGGAL]),COLUMN(NOTA[TANGGAL]))&amp;":"&amp;ADDRESS(ROW(),COLUMN(NOTA[TANGGAL]))),-1)))</f>
        <v/>
      </c>
      <c r="AG662" s="61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 t="str">
        <f ca="1">IF(NOTA[[#This Row],[TGL.NOTA]]="",IF(NOTA[[#This Row],[SUPPLIER_H]]="","",AI661),MONTH(NOTA[[#This Row],[TGL.NOTA]]))</f>
        <v/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67"/>
      <c r="F663" s="48"/>
      <c r="G663" s="48"/>
      <c r="H663" s="49"/>
      <c r="I663" s="48"/>
      <c r="J663" s="50"/>
      <c r="K663" s="48"/>
      <c r="L663" s="31"/>
      <c r="M663" s="63"/>
      <c r="N663" s="48"/>
      <c r="O663" s="31"/>
      <c r="P663" s="61"/>
      <c r="Q663" s="166"/>
      <c r="R663" s="35"/>
      <c r="S663" s="65"/>
      <c r="T663" s="65"/>
      <c r="U663" s="64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6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Row],[SUPPLIER_H]]="","",AI663),MONTH(NOTA[[#This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6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6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6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6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8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8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8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7"/>
      <c r="F814" s="148"/>
      <c r="G814" s="148"/>
      <c r="H814" s="149"/>
      <c r="I814" s="150"/>
      <c r="J814" s="150"/>
      <c r="K814" s="148"/>
      <c r="L814" s="148"/>
      <c r="M814" s="151"/>
      <c r="N814" s="148"/>
      <c r="O814" s="148"/>
      <c r="P814" s="152"/>
      <c r="Q814" s="169"/>
      <c r="R814" s="151"/>
      <c r="S814" s="153"/>
      <c r="T814" s="153"/>
      <c r="U814" s="154"/>
      <c r="V814" s="155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7"/>
      <c r="F815" s="148"/>
      <c r="G815" s="148"/>
      <c r="H815" s="149"/>
      <c r="I815" s="148"/>
      <c r="J815" s="150"/>
      <c r="K815" s="148"/>
      <c r="L815" s="148"/>
      <c r="M815" s="151"/>
      <c r="N815" s="148"/>
      <c r="O815" s="148"/>
      <c r="P815" s="152"/>
      <c r="Q815" s="169"/>
      <c r="R815" s="151"/>
      <c r="S815" s="153"/>
      <c r="T815" s="153"/>
      <c r="U815" s="154"/>
      <c r="V815" s="155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7"/>
      <c r="F816" s="148"/>
      <c r="G816" s="148"/>
      <c r="H816" s="149"/>
      <c r="I816" s="148"/>
      <c r="J816" s="150"/>
      <c r="K816" s="148"/>
      <c r="L816" s="148"/>
      <c r="M816" s="151"/>
      <c r="N816" s="148"/>
      <c r="O816" s="148"/>
      <c r="P816" s="152"/>
      <c r="Q816" s="169"/>
      <c r="R816" s="151"/>
      <c r="S816" s="153"/>
      <c r="T816" s="153"/>
      <c r="U816" s="154"/>
      <c r="V816" s="155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7"/>
      <c r="F817" s="148"/>
      <c r="G817" s="148"/>
      <c r="H817" s="149"/>
      <c r="I817" s="148"/>
      <c r="J817" s="150"/>
      <c r="K817" s="148"/>
      <c r="L817" s="148"/>
      <c r="M817" s="151"/>
      <c r="N817" s="148"/>
      <c r="O817" s="148"/>
      <c r="P817" s="152"/>
      <c r="Q817" s="169"/>
      <c r="R817" s="151"/>
      <c r="S817" s="153"/>
      <c r="T817" s="153"/>
      <c r="U817" s="154"/>
      <c r="V817" s="155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7"/>
      <c r="F818" s="148"/>
      <c r="G818" s="148"/>
      <c r="H818" s="149"/>
      <c r="I818" s="148"/>
      <c r="J818" s="150"/>
      <c r="K818" s="148"/>
      <c r="L818" s="148"/>
      <c r="M818" s="151"/>
      <c r="N818" s="148"/>
      <c r="O818" s="148"/>
      <c r="P818" s="152"/>
      <c r="Q818" s="169"/>
      <c r="R818" s="151"/>
      <c r="S818" s="153"/>
      <c r="T818" s="153"/>
      <c r="U818" s="154"/>
      <c r="V818" s="155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7"/>
      <c r="F819" s="148"/>
      <c r="G819" s="148"/>
      <c r="H819" s="149"/>
      <c r="I819" s="148"/>
      <c r="J819" s="150"/>
      <c r="K819" s="148"/>
      <c r="L819" s="148"/>
      <c r="M819" s="151"/>
      <c r="N819" s="148"/>
      <c r="O819" s="148"/>
      <c r="P819" s="152"/>
      <c r="Q819" s="169"/>
      <c r="R819" s="151"/>
      <c r="S819" s="153"/>
      <c r="T819" s="153"/>
      <c r="U819" s="154"/>
      <c r="V819" s="155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7"/>
      <c r="F820" s="148"/>
      <c r="G820" s="148"/>
      <c r="H820" s="149"/>
      <c r="I820" s="148"/>
      <c r="J820" s="150"/>
      <c r="K820" s="148"/>
      <c r="L820" s="148"/>
      <c r="M820" s="151"/>
      <c r="N820" s="148"/>
      <c r="O820" s="148"/>
      <c r="P820" s="152"/>
      <c r="Q820" s="169"/>
      <c r="R820" s="151"/>
      <c r="S820" s="153"/>
      <c r="T820" s="153"/>
      <c r="U820" s="154"/>
      <c r="V820" s="155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7"/>
      <c r="F821" s="148"/>
      <c r="G821" s="148"/>
      <c r="H821" s="149"/>
      <c r="I821" s="148"/>
      <c r="J821" s="150"/>
      <c r="K821" s="148"/>
      <c r="L821" s="148"/>
      <c r="M821" s="151"/>
      <c r="N821" s="148"/>
      <c r="O821" s="148"/>
      <c r="P821" s="152"/>
      <c r="Q821" s="169"/>
      <c r="R821" s="151"/>
      <c r="S821" s="153"/>
      <c r="T821" s="153"/>
      <c r="U821" s="154"/>
      <c r="V821" s="155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7"/>
      <c r="F822" s="148"/>
      <c r="G822" s="148"/>
      <c r="H822" s="149"/>
      <c r="I822" s="148"/>
      <c r="J822" s="150"/>
      <c r="K822" s="148"/>
      <c r="L822" s="148"/>
      <c r="M822" s="151"/>
      <c r="N822" s="148"/>
      <c r="O822" s="148"/>
      <c r="P822" s="152"/>
      <c r="Q822" s="169"/>
      <c r="R822" s="151"/>
      <c r="S822" s="153"/>
      <c r="T822" s="153"/>
      <c r="U822" s="154"/>
      <c r="V822" s="155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7"/>
      <c r="F823" s="148"/>
      <c r="G823" s="148"/>
      <c r="H823" s="149"/>
      <c r="I823" s="148"/>
      <c r="J823" s="150"/>
      <c r="K823" s="148"/>
      <c r="L823" s="148"/>
      <c r="M823" s="151"/>
      <c r="N823" s="148"/>
      <c r="O823" s="148"/>
      <c r="P823" s="152"/>
      <c r="Q823" s="169"/>
      <c r="R823" s="151"/>
      <c r="S823" s="153"/>
      <c r="T823" s="153"/>
      <c r="U823" s="154"/>
      <c r="V823" s="155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7"/>
      <c r="F824" s="148"/>
      <c r="G824" s="148"/>
      <c r="H824" s="149"/>
      <c r="I824" s="148"/>
      <c r="J824" s="150"/>
      <c r="K824" s="148"/>
      <c r="L824" s="148"/>
      <c r="M824" s="151"/>
      <c r="N824" s="148"/>
      <c r="O824" s="148"/>
      <c r="P824" s="152"/>
      <c r="Q824" s="169"/>
      <c r="R824" s="151"/>
      <c r="S824" s="153"/>
      <c r="T824" s="153"/>
      <c r="U824" s="154"/>
      <c r="V824" s="155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7"/>
      <c r="F825" s="148"/>
      <c r="G825" s="148"/>
      <c r="H825" s="149"/>
      <c r="I825" s="148"/>
      <c r="J825" s="150"/>
      <c r="K825" s="148"/>
      <c r="L825" s="148"/>
      <c r="M825" s="151"/>
      <c r="N825" s="148"/>
      <c r="O825" s="148"/>
      <c r="P825" s="152"/>
      <c r="Q825" s="169"/>
      <c r="R825" s="151"/>
      <c r="S825" s="153"/>
      <c r="T825" s="153"/>
      <c r="U825" s="154"/>
      <c r="V825" s="155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7"/>
      <c r="F826" s="148"/>
      <c r="G826" s="148"/>
      <c r="H826" s="149"/>
      <c r="I826" s="148"/>
      <c r="J826" s="150"/>
      <c r="K826" s="148"/>
      <c r="L826" s="148"/>
      <c r="M826" s="151"/>
      <c r="N826" s="148"/>
      <c r="O826" s="148"/>
      <c r="P826" s="152"/>
      <c r="Q826" s="169"/>
      <c r="R826" s="151"/>
      <c r="S826" s="153"/>
      <c r="T826" s="153"/>
      <c r="U826" s="154"/>
      <c r="V826" s="155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7"/>
      <c r="F827" s="148"/>
      <c r="G827" s="148"/>
      <c r="H827" s="149"/>
      <c r="I827" s="148"/>
      <c r="J827" s="150"/>
      <c r="K827" s="148"/>
      <c r="L827" s="148"/>
      <c r="M827" s="151"/>
      <c r="N827" s="148"/>
      <c r="O827" s="148"/>
      <c r="P827" s="152"/>
      <c r="Q827" s="169"/>
      <c r="R827" s="151"/>
      <c r="S827" s="153"/>
      <c r="T827" s="153"/>
      <c r="U827" s="154"/>
      <c r="V827" s="155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7"/>
      <c r="F828" s="148"/>
      <c r="G828" s="148"/>
      <c r="H828" s="149"/>
      <c r="I828" s="148"/>
      <c r="J828" s="150"/>
      <c r="K828" s="148"/>
      <c r="L828" s="148"/>
      <c r="M828" s="151"/>
      <c r="N828" s="148"/>
      <c r="O828" s="148"/>
      <c r="P828" s="152"/>
      <c r="Q828" s="169"/>
      <c r="R828" s="151"/>
      <c r="S828" s="153"/>
      <c r="T828" s="153"/>
      <c r="U828" s="154"/>
      <c r="V828" s="155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7"/>
      <c r="F829" s="148"/>
      <c r="G829" s="148"/>
      <c r="H829" s="149"/>
      <c r="I829" s="148"/>
      <c r="J829" s="150"/>
      <c r="K829" s="148"/>
      <c r="L829" s="148"/>
      <c r="M829" s="151"/>
      <c r="N829" s="148"/>
      <c r="O829" s="148"/>
      <c r="P829" s="152"/>
      <c r="Q829" s="169"/>
      <c r="R829" s="151"/>
      <c r="S829" s="153"/>
      <c r="T829" s="153"/>
      <c r="U829" s="154"/>
      <c r="V829" s="155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7"/>
      <c r="F830" s="148"/>
      <c r="G830" s="148"/>
      <c r="H830" s="149"/>
      <c r="I830" s="148"/>
      <c r="J830" s="150"/>
      <c r="K830" s="148"/>
      <c r="L830" s="148"/>
      <c r="M830" s="151"/>
      <c r="N830" s="148"/>
      <c r="O830" s="148"/>
      <c r="P830" s="152"/>
      <c r="Q830" s="169"/>
      <c r="R830" s="151"/>
      <c r="S830" s="153"/>
      <c r="T830" s="153"/>
      <c r="U830" s="154"/>
      <c r="V830" s="155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7"/>
      <c r="F841" s="148"/>
      <c r="G841" s="148"/>
      <c r="H841" s="149"/>
      <c r="I841" s="148"/>
      <c r="J841" s="150"/>
      <c r="K841" s="148"/>
      <c r="L841" s="148"/>
      <c r="M841" s="151"/>
      <c r="N841" s="148"/>
      <c r="O841" s="148"/>
      <c r="P841" s="152"/>
      <c r="Q841" s="169"/>
      <c r="R841" s="151"/>
      <c r="S841" s="153"/>
      <c r="T841" s="153"/>
      <c r="U841" s="154"/>
      <c r="V841" s="155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7"/>
      <c r="F842" s="148"/>
      <c r="G842" s="148"/>
      <c r="H842" s="149"/>
      <c r="I842" s="148"/>
      <c r="J842" s="150"/>
      <c r="K842" s="148"/>
      <c r="L842" s="148"/>
      <c r="M842" s="151"/>
      <c r="N842" s="148"/>
      <c r="O842" s="148"/>
      <c r="P842" s="152"/>
      <c r="Q842" s="169"/>
      <c r="R842" s="151"/>
      <c r="S842" s="153"/>
      <c r="T842" s="153"/>
      <c r="U842" s="154"/>
      <c r="V842" s="155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7"/>
      <c r="F843" s="148"/>
      <c r="G843" s="148"/>
      <c r="H843" s="149"/>
      <c r="I843" s="148"/>
      <c r="J843" s="150"/>
      <c r="K843" s="148"/>
      <c r="L843" s="148"/>
      <c r="M843" s="151"/>
      <c r="N843" s="148"/>
      <c r="O843" s="148"/>
      <c r="P843" s="152"/>
      <c r="Q843" s="169"/>
      <c r="R843" s="151"/>
      <c r="S843" s="153"/>
      <c r="T843" s="153"/>
      <c r="U843" s="154"/>
      <c r="V843" s="155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7"/>
      <c r="F853" s="148"/>
      <c r="G853" s="148"/>
      <c r="H853" s="149"/>
      <c r="I853" s="148"/>
      <c r="J853" s="150"/>
      <c r="K853" s="148"/>
      <c r="L853" s="148"/>
      <c r="M853" s="151"/>
      <c r="N853" s="148"/>
      <c r="O853" s="148"/>
      <c r="P853" s="152"/>
      <c r="Q853" s="169"/>
      <c r="R853" s="151"/>
      <c r="S853" s="153"/>
      <c r="T853" s="153"/>
      <c r="U853" s="154"/>
      <c r="V853" s="155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7"/>
      <c r="F855" s="148"/>
      <c r="G855" s="148"/>
      <c r="H855" s="149"/>
      <c r="I855" s="148"/>
      <c r="J855" s="150"/>
      <c r="K855" s="148"/>
      <c r="L855" s="148"/>
      <c r="M855" s="151"/>
      <c r="N855" s="148"/>
      <c r="O855" s="148"/>
      <c r="P855" s="152"/>
      <c r="Q855" s="169"/>
      <c r="R855" s="151"/>
      <c r="S855" s="153"/>
      <c r="T855" s="153"/>
      <c r="U855" s="154"/>
      <c r="V855" s="155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7"/>
      <c r="F856" s="148"/>
      <c r="G856" s="148"/>
      <c r="H856" s="149"/>
      <c r="I856" s="148"/>
      <c r="J856" s="150"/>
      <c r="K856" s="148"/>
      <c r="L856" s="148"/>
      <c r="M856" s="151"/>
      <c r="N856" s="148"/>
      <c r="O856" s="148"/>
      <c r="P856" s="152"/>
      <c r="Q856" s="169"/>
      <c r="R856" s="151"/>
      <c r="S856" s="153"/>
      <c r="T856" s="153"/>
      <c r="U856" s="154"/>
      <c r="V856" s="155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7"/>
      <c r="F857" s="148"/>
      <c r="G857" s="148"/>
      <c r="H857" s="149"/>
      <c r="I857" s="148"/>
      <c r="J857" s="150"/>
      <c r="K857" s="148"/>
      <c r="L857" s="148"/>
      <c r="M857" s="151"/>
      <c r="N857" s="148"/>
      <c r="O857" s="148"/>
      <c r="P857" s="152"/>
      <c r="Q857" s="169"/>
      <c r="R857" s="151"/>
      <c r="S857" s="153"/>
      <c r="T857" s="153"/>
      <c r="U857" s="154"/>
      <c r="V857" s="155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7"/>
      <c r="F858" s="148"/>
      <c r="G858" s="148"/>
      <c r="H858" s="149"/>
      <c r="I858" s="148"/>
      <c r="J858" s="150"/>
      <c r="K858" s="148"/>
      <c r="L858" s="148"/>
      <c r="M858" s="151"/>
      <c r="N858" s="148"/>
      <c r="O858" s="148"/>
      <c r="P858" s="152"/>
      <c r="Q858" s="169"/>
      <c r="R858" s="151"/>
      <c r="S858" s="153"/>
      <c r="T858" s="153"/>
      <c r="U858" s="154"/>
      <c r="V858" s="155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7"/>
      <c r="F859" s="148"/>
      <c r="G859" s="148"/>
      <c r="H859" s="149"/>
      <c r="I859" s="148"/>
      <c r="J859" s="150"/>
      <c r="K859" s="148"/>
      <c r="L859" s="148"/>
      <c r="M859" s="151"/>
      <c r="N859" s="148"/>
      <c r="O859" s="148"/>
      <c r="P859" s="152"/>
      <c r="Q859" s="169"/>
      <c r="R859" s="151"/>
      <c r="S859" s="153"/>
      <c r="T859" s="153"/>
      <c r="U859" s="154"/>
      <c r="V859" s="155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7"/>
      <c r="F860" s="148"/>
      <c r="G860" s="148"/>
      <c r="H860" s="149"/>
      <c r="I860" s="148"/>
      <c r="J860" s="150"/>
      <c r="K860" s="148"/>
      <c r="L860" s="148"/>
      <c r="M860" s="151"/>
      <c r="N860" s="148"/>
      <c r="O860" s="148"/>
      <c r="P860" s="152"/>
      <c r="Q860" s="169"/>
      <c r="R860" s="151"/>
      <c r="S860" s="153"/>
      <c r="T860" s="153"/>
      <c r="U860" s="154"/>
      <c r="V860" s="155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7"/>
      <c r="F861" s="148"/>
      <c r="G861" s="148"/>
      <c r="H861" s="149"/>
      <c r="I861" s="148"/>
      <c r="J861" s="150"/>
      <c r="K861" s="148"/>
      <c r="L861" s="148"/>
      <c r="M861" s="151"/>
      <c r="N861" s="148"/>
      <c r="O861" s="148"/>
      <c r="P861" s="152"/>
      <c r="Q861" s="169"/>
      <c r="R861" s="151"/>
      <c r="S861" s="153"/>
      <c r="T861" s="153"/>
      <c r="U861" s="154"/>
      <c r="V861" s="155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7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70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7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70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7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70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7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70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7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70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7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70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7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70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7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70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7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70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7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70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7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70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7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70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7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70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7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70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7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70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7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70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7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70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7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70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7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70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7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70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7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70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60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60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60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60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60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60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60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60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60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60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60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60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60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60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60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60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60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60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60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60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60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60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60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60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60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60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60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60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60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60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60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60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71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71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71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71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71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71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71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71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71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71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71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71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71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71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71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71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71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71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60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60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60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I106 H1:H2 I191 H492:H500 H429:H456 H49:H52 H107:H190 H54:H105 H631:H1048576 H20 H24 H34 H38 H40:H45 H192:H281 H283:H427 H502:H629">
    <cfRule type="duplicateValues" dxfId="225" priority="496"/>
  </conditionalFormatting>
  <conditionalFormatting sqref="H3:H19">
    <cfRule type="duplicateValues" dxfId="224" priority="6"/>
  </conditionalFormatting>
  <conditionalFormatting sqref="H21:H23">
    <cfRule type="duplicateValues" dxfId="223" priority="5"/>
  </conditionalFormatting>
  <conditionalFormatting sqref="H25:H26">
    <cfRule type="duplicateValues" dxfId="222" priority="4"/>
  </conditionalFormatting>
  <conditionalFormatting sqref="H35:H37">
    <cfRule type="duplicateValues" dxfId="221" priority="3"/>
  </conditionalFormatting>
  <conditionalFormatting sqref="H39 H27:H28">
    <cfRule type="duplicateValues" dxfId="220" priority="557"/>
  </conditionalFormatting>
  <conditionalFormatting sqref="H29:H33">
    <cfRule type="duplicateValues" dxfId="219" priority="1"/>
  </conditionalFormatting>
  <conditionalFormatting sqref="B3:B943">
    <cfRule type="duplicateValues" dxfId="218" priority="97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141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623</v>
      </c>
      <c r="D2" t="s">
        <v>23</v>
      </c>
      <c r="E2" t="s">
        <v>61</v>
      </c>
      <c r="F2" t="s">
        <v>71</v>
      </c>
      <c r="G2">
        <f>COUNTIF(NOTA[SUPPLIER],CONV[[#This Row],[1]])</f>
        <v>26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25</v>
      </c>
    </row>
    <row r="4" spans="1:7" x14ac:dyDescent="0.25">
      <c r="A4" t="s">
        <v>35</v>
      </c>
      <c r="B4">
        <f>COUNTIF(NOTA[FAKTUR],NM_FAKTUR)</f>
        <v>59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1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22" zoomScale="85" zoomScaleNormal="85" workbookViewId="0">
      <selection activeCell="F43" sqref="F43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2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2">
        <f ca="1">HYPERLINK("[NOTA_.XLSX]NOTA!c"&amp;PAJAK[[#This Row],[//]],IF(PAJAK[[#This Row],[//]]="","",INDEX(INDIRECT("NOTA["&amp;PAJAK[#Headers]&amp;"]"),PAJAK[[#This Row],[//]]-2)))</f>
        <v>5</v>
      </c>
      <c r="C6" s="142" t="str">
        <f ca="1">IF(PAJAK[[#This Row],[//]]="","",INDEX(INDIRECT("NOTA["&amp;PAJAK[#Headers]&amp;"]"),PAJAK[[#This Row],[//]]-2))</f>
        <v>KEN_0410_097-3</v>
      </c>
      <c r="D6" s="142" t="e">
        <f ca="1">MATCH(PAJAK[[#This Row],[ID]],[2]!Table1[ID],0)</f>
        <v>#REF!</v>
      </c>
      <c r="E6" s="143">
        <f ca="1">IF(PAJAK[[#This Row],[ID]]="","",COUNTIF(NOTA[ID_H],PAJAK[[#This Row],[ID]]))</f>
        <v>3</v>
      </c>
      <c r="F6" s="142" t="str">
        <f ca="1">IF(PAJAK[[#This Row],[//]]="","",INDEX(CONV[2],MATCH(INDEX(INDIRECT("NOTA["&amp;PAJAK[#Headers]&amp;"]"),PAJAK[[#This Row],[//]]-2),CONV[1],0),0))</f>
        <v>PT KENKO SINAR INDONESIA</v>
      </c>
      <c r="G6" s="144">
        <f ca="1">IF(PAJAK[[#This Row],[//]]="","",INDEX(NOTA[TGL_H],PAJAK[[#This Row],[//]]-2))</f>
        <v>44838</v>
      </c>
      <c r="H6" s="144">
        <f ca="1">IF(PAJAK[[#This Row],[//]]="","",INDEX(INDIRECT("NOTA["&amp;PAJAK[#Headers]&amp;"]"),PAJAK[[#This Row],[//]]-2))</f>
        <v>44835</v>
      </c>
      <c r="I6" s="143" t="str">
        <f ca="1">IF(PAJAK[[#This Row],[//]]="","",INDEX(INDIRECT("NOTA["&amp;PAJAK[#Headers]&amp;"]"),PAJAK[[#This Row],[//]]-2))</f>
        <v>22100097</v>
      </c>
      <c r="J6" s="142" t="str">
        <f ca="1">IF(OR(PAJAK[[#This Row],[//]]="",INDEX(INDIRECT("NOTA["&amp;PAJAK[#Headers]&amp;"]"),PAJAK[[#This Row],[//]]-2)=""),"",INDEX(INDIRECT("NOTA["&amp;PAJAK[#Headers]&amp;"]"),PAJAK[[#This Row],[//]]-2))</f>
        <v/>
      </c>
      <c r="K6" s="145">
        <f ca="1">IF(PAJAK[[#This Row],[//]]="","",SUMIF(NOTA[ID_H],PAJAK[[#This Row],[ID]],NOTA[JUMLAH]))</f>
        <v>29678400</v>
      </c>
      <c r="L6" s="145">
        <f ca="1">IF(PAJAK[[#This Row],[//]]="","",SUMIF(NOTA[ID_H],PAJAK[[#This Row],[ID]],NOTA[DISC]))</f>
        <v>5045328</v>
      </c>
      <c r="M6" s="145">
        <f ca="1">PAJAK[[#This Row],[SUB TOTAL]]-PAJAK[[#This Row],[DISKON]]</f>
        <v>24633072</v>
      </c>
      <c r="N6" s="145">
        <f ca="1">IF(PAJAK[[#This Row],[//]]="","",INDEX(INDIRECT("NOTA["&amp;PAJAK[#Headers]&amp;"]"),PAJAK[[#This Row],[//]]-2+PAJAK[[#This Row],[QB]]-1))</f>
        <v>0</v>
      </c>
      <c r="O6" s="145">
        <f ca="1">(PAJAK[[#This Row],[SUB T-DISC]]-PAJAK[[#This Row],[DISC DLL]])/111%</f>
        <v>22191956.756756756</v>
      </c>
      <c r="P6" s="145">
        <f ca="1">PAJAK[[#This Row],[DPP]]*PAJAK[[#This Row],[PPN]]</f>
        <v>2441115.2432432431</v>
      </c>
      <c r="Q6" s="145">
        <f ca="1">PAJAK[[#This Row],[DPP]]+PAJAK[[#This Row],[PPN 11%]]</f>
        <v>24633072</v>
      </c>
      <c r="R6" s="145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15">
        <f ca="1">HYPERLINK("[NOTA_.XLSX]NOTA!c"&amp;PAJAK[[#This Row],[//]],IF(PAJAK[[#This Row],[//]]="","",INDEX(INDIRECT("NOTA["&amp;PAJAK[#Headers]&amp;"]"),PAJAK[[#This Row],[//]]-2)))</f>
        <v>10</v>
      </c>
      <c r="C7" t="str">
        <f ca="1">IF(PAJAK[[#This Row],[//]]="","",INDEX(INDIRECT("NOTA["&amp;PAJAK[#Headers]&amp;"]"),PAJAK[[#This Row],[//]]-2))</f>
        <v>SAM_0610_115-3</v>
      </c>
      <c r="D7" t="e">
        <f ca="1">MATCH(PAJAK[[#This Row],[ID]],[2]!Table1[ID],0)</f>
        <v>#REF!</v>
      </c>
      <c r="E7" s="5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 s="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3">
        <f ca="1">HYPERLINK("[NOTA_.XLSX]NOTA!c"&amp;PAJAK[[#This Row],[//]],IF(PAJAK[[#This Row],[//]]="","",INDEX(INDIRECT("NOTA["&amp;PAJAK[#Headers]&amp;"]"),PAJAK[[#This Row],[//]]-2)))</f>
        <v>15</v>
      </c>
      <c r="C11" s="3" t="str">
        <f ca="1">IF(PAJAK[[#This Row],[//]]="","",INDEX(INDIRECT("NOTA["&amp;PAJAK[#Headers]&amp;"]"),PAJAK[[#This Row],[//]]-2))</f>
        <v>KEN_1010_448-2</v>
      </c>
      <c r="D11" s="3" t="e">
        <f ca="1">MATCH(PAJAK[[#This Row],[ID]],[2]!Table1[ID],0)</f>
        <v>#REF!</v>
      </c>
      <c r="E11" s="7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2">
        <f ca="1">HYPERLINK("[NOTA_.XLSX]NOTA!c"&amp;PAJAK[[#This Row],[//]],IF(PAJAK[[#This Row],[//]]="","",INDEX(INDIRECT("NOTA["&amp;PAJAK[#Headers]&amp;"]"),PAJAK[[#This Row],[//]]-2)))</f>
        <v>56</v>
      </c>
      <c r="C28" s="3" t="str">
        <f ca="1">IF(PAJAK[[#This Row],[//]]="","",INDEX(INDIRECT("NOTA["&amp;PAJAK[#Headers]&amp;"]"),PAJAK[[#This Row],[//]]-2))</f>
        <v>KEN_1710_116-5</v>
      </c>
      <c r="D28" s="3" t="e">
        <f ca="1">MATCH(PAJAK[[#This Row],[ID]],[2]!Table1[ID],0)</f>
        <v>#REF!</v>
      </c>
      <c r="E28" s="7">
        <f ca="1">IF(PAJAK[[#This Row],[ID]]="","",COUNTIF(NOTA[ID_H],PAJAK[[#This Row],[ID]]))</f>
        <v>5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44851</v>
      </c>
      <c r="H28" s="2">
        <f ca="1">IF(PAJAK[[#This Row],[//]]="","",INDEX(INDIRECT("NOTA["&amp;PAJAK[#Headers]&amp;"]"),PAJAK[[#This Row],[//]]-2))</f>
        <v>44848</v>
      </c>
      <c r="I28" s="7" t="str">
        <f ca="1">IF(PAJAK[[#This Row],[//]]="","",INDEX(INDIRECT("NOTA["&amp;PAJAK[#Headers]&amp;"]"),PAJAK[[#This Row],[//]]-2))</f>
        <v>22101116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">
        <f ca="1">IF(PAJAK[[#This Row],[//]]="","",SUMIF(NOTA[ID_H],PAJAK[[#This Row],[ID]],NOTA[JUMLAH]))</f>
        <v>40268400</v>
      </c>
      <c r="L28" s="1">
        <f ca="1">IF(PAJAK[[#This Row],[//]]="","",SUMIF(NOTA[ID_H],PAJAK[[#This Row],[ID]],NOTA[DISC]))</f>
        <v>6845628</v>
      </c>
      <c r="M28" s="1">
        <f ca="1">PAJAK[[#This Row],[SUB TOTAL]]-PAJAK[[#This Row],[DISKON]]</f>
        <v>33422772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30110605.405405402</v>
      </c>
      <c r="P28" s="1">
        <f ca="1">PAJAK[[#This Row],[DPP]]*PAJAK[[#This Row],[PPN]]</f>
        <v>3312166.5945945941</v>
      </c>
      <c r="Q28" s="1">
        <f ca="1">PAJAK[[#This Row],[DPP]]+PAJAK[[#This Row],[PPN 11%]]</f>
        <v>33422771.999999996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5">
        <f ca="1">HYPERLINK("[NOTA_.XLSX]NOTA!c"&amp;PAJAK[[#This Row],[//]],IF(PAJAK[[#This Row],[//]]="","",INDEX(INDIRECT("NOTA["&amp;PAJAK[#Headers]&amp;"]"),PAJAK[[#This Row],[//]]-2)))</f>
        <v>64</v>
      </c>
      <c r="C29" t="str">
        <f ca="1">IF(PAJAK[[#This Row],[//]]="","",INDEX(INDIRECT("NOTA["&amp;PAJAK[#Headers]&amp;"]"),PAJAK[[#This Row],[//]]-2))</f>
        <v>ATA_2010_411-6</v>
      </c>
      <c r="D29" t="e">
        <f ca="1">MATCH(PAJAK[[#This Row],[ID]],[2]!Table1[ID],0)</f>
        <v>#REF!</v>
      </c>
      <c r="E29" s="5">
        <f ca="1">IF(PAJAK[[#This Row],[ID]]="","",COUNTIF(NOTA[ID_H],PAJAK[[#This Row],[ID]]))</f>
        <v>6</v>
      </c>
      <c r="F29" s="3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44854</v>
      </c>
      <c r="H29" s="2">
        <f ca="1">IF(PAJAK[[#This Row],[//]]="","",INDEX(INDIRECT("NOTA["&amp;PAJAK[#Headers]&amp;"]"),PAJAK[[#This Row],[//]]-2))</f>
        <v>44851</v>
      </c>
      <c r="I29" s="7" t="str">
        <f ca="1">IF(PAJAK[[#This Row],[//]]="","",INDEX(INDIRECT("NOTA["&amp;PAJAK[#Headers]&amp;"]"),PAJAK[[#This Row],[//]]-2))</f>
        <v>SA221016411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12801600</v>
      </c>
      <c r="L29" s="1">
        <f ca="1">IF(PAJAK[[#This Row],[//]]="","",SUMIF(NOTA[ID_H],PAJAK[[#This Row],[ID]],NOTA[DISC]))</f>
        <v>2160270</v>
      </c>
      <c r="M29" s="1">
        <f ca="1">PAJAK[[#This Row],[SUB TOTAL]]-PAJAK[[#This Row],[DISKON]]</f>
        <v>10641330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9586783.7837837823</v>
      </c>
      <c r="P29" s="1">
        <f ca="1">PAJAK[[#This Row],[DPP]]*PAJAK[[#This Row],[PPN]]</f>
        <v>1054546.2162162161</v>
      </c>
      <c r="Q29" s="1">
        <f ca="1">PAJAK[[#This Row],[DPP]]+PAJAK[[#This Row],[PPN 11%]]</f>
        <v>10641329.999999998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5">
        <f ca="1">HYPERLINK("[NOTA_.XLSX]NOTA!c"&amp;PAJAK[[#This Row],[//]],IF(PAJAK[[#This Row],[//]]="","",INDEX(INDIRECT("NOTA["&amp;PAJAK[#Headers]&amp;"]"),PAJAK[[#This Row],[//]]-2)))</f>
        <v>66</v>
      </c>
      <c r="C31" t="str">
        <f ca="1">IF(PAJAK[[#This Row],[//]]="","",INDEX(INDIRECT("NOTA["&amp;PAJAK[#Headers]&amp;"]"),PAJAK[[#This Row],[//]]-2))</f>
        <v>ATA_2010_243-2</v>
      </c>
      <c r="D31" t="e">
        <f ca="1">MATCH(PAJAK[[#This Row],[ID]],[2]!Table1[ID],0)</f>
        <v>#REF!</v>
      </c>
      <c r="E31" s="5">
        <f ca="1">IF(PAJAK[[#This Row],[ID]]="","",COUNTIF(NOTA[ID_H],PAJAK[[#This Row],[ID]]))</f>
        <v>2</v>
      </c>
      <c r="F31" s="3" t="str">
        <f ca="1">IF(PAJAK[[#This Row],[//]]="","",INDEX(CONV[2],MATCH(INDEX(INDIRECT("NOTA["&amp;PAJAK[#Headers]&amp;"]"),PAJAK[[#This Row],[//]]-2),CONV[1],0),0))</f>
        <v>PT ATALI MAKMUR</v>
      </c>
      <c r="G31" s="2">
        <f ca="1">IF(PAJAK[[#This Row],[//]]="","",INDEX(NOTA[TGL_H],PAJAK[[#This Row],[//]]-2))</f>
        <v>44854</v>
      </c>
      <c r="H31" s="2">
        <f ca="1">IF(PAJAK[[#This Row],[//]]="","",INDEX(INDIRECT("NOTA["&amp;PAJAK[#Headers]&amp;"]"),PAJAK[[#This Row],[//]]-2))</f>
        <v>44847</v>
      </c>
      <c r="I31" s="7" t="str">
        <f ca="1">IF(PAJAK[[#This Row],[//]]="","",INDEX(INDIRECT("NOTA["&amp;PAJAK[#Headers]&amp;"]"),PAJAK[[#This Row],[//]]-2))</f>
        <v>SA221016243</v>
      </c>
      <c r="J31" s="3" t="str">
        <f ca="1">IF(OR(PAJAK[[#This Row],[//]]="",INDEX(INDIRECT("NOTA["&amp;PAJAK[#Headers]&amp;"]"),PAJAK[[#This Row],[//]]-2)=""),"",INDEX(INDIRECT("NOTA["&amp;PAJAK[#Headers]&amp;"]"),PAJAK[[#This Row],[//]]-2))</f>
        <v/>
      </c>
      <c r="K31" s="1">
        <f ca="1">IF(PAJAK[[#This Row],[//]]="","",SUMIF(NOTA[ID_H],PAJAK[[#This Row],[ID]],NOTA[JUMLAH]))</f>
        <v>17532000</v>
      </c>
      <c r="L31" s="1">
        <f ca="1">IF(PAJAK[[#This Row],[//]]="","",SUMIF(NOTA[ID_H],PAJAK[[#This Row],[ID]],NOTA[DISC]))</f>
        <v>2952540</v>
      </c>
      <c r="M31" s="1">
        <f ca="1">PAJAK[[#This Row],[SUB TOTAL]]-PAJAK[[#This Row],[DISKON]]</f>
        <v>14579460</v>
      </c>
      <c r="N31" s="1">
        <f ca="1">IF(PAJAK[[#This Row],[//]]="","",INDEX(INDIRECT("NOTA["&amp;PAJAK[#Headers]&amp;"]"),PAJAK[[#This Row],[//]]-2+PAJAK[[#This Row],[QB]]-1))</f>
        <v>215460</v>
      </c>
      <c r="O31" s="1">
        <f ca="1">(PAJAK[[#This Row],[SUB T-DISC]]-PAJAK[[#This Row],[DISC DLL]])/111%</f>
        <v>12940540.540540539</v>
      </c>
      <c r="P31" s="1">
        <f ca="1">PAJAK[[#This Row],[DPP]]*PAJAK[[#This Row],[PPN]]</f>
        <v>1423459.4594594592</v>
      </c>
      <c r="Q31" s="1">
        <f ca="1">PAJAK[[#This Row],[DPP]]+PAJAK[[#This Row],[PPN 11%]]</f>
        <v>14363999.999999998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5">
        <f ca="1">HYPERLINK("[NOTA_.XLSX]NOTA!c"&amp;PAJAK[[#This Row],[//]],IF(PAJAK[[#This Row],[//]]="","",INDEX(INDIRECT("NOTA["&amp;PAJAK[#Headers]&amp;"]"),PAJAK[[#This Row],[//]]-2)))</f>
        <v>67</v>
      </c>
      <c r="C32" t="str">
        <f ca="1">IF(PAJAK[[#This Row],[//]]="","",INDEX(INDIRECT("NOTA["&amp;PAJAK[#Headers]&amp;"]"),PAJAK[[#This Row],[//]]-2))</f>
        <v>KAL_2010_048-6</v>
      </c>
      <c r="D32" t="e">
        <f ca="1">MATCH(PAJAK[[#This Row],[ID]],[2]!Table1[ID],0)</f>
        <v>#REF!</v>
      </c>
      <c r="E32" s="5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 s="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3">
        <f ca="1">HYPERLINK("[NOTA_.XLSX]NOTA!c"&amp;PAJAK[[#This Row],[//]],IF(PAJAK[[#This Row],[//]]="","",INDEX(INDIRECT("NOTA["&amp;PAJAK[#Headers]&amp;"]"),PAJAK[[#This Row],[//]]-2)))</f>
        <v>69</v>
      </c>
      <c r="C34" s="3" t="str">
        <f ca="1">IF(PAJAK[[#This Row],[//]]="","",INDEX(INDIRECT("NOTA["&amp;PAJAK[#Headers]&amp;"]"),PAJAK[[#This Row],[//]]-2))</f>
        <v>ATA_2010_282-11</v>
      </c>
      <c r="D34" s="3" t="e">
        <f ca="1">MATCH(PAJAK[[#This Row],[ID]],[2]!Table1[ID],0)</f>
        <v>#REF!</v>
      </c>
      <c r="E34" s="7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332</v>
      </c>
      <c r="B36" s="3">
        <f ca="1">HYPERLINK("[NOTA_.XLSX]NOTA!c"&amp;PAJAK[[#This Row],[//]],IF(PAJAK[[#This Row],[//]]="","",INDEX(INDIRECT("NOTA["&amp;PAJAK[#Headers]&amp;"]"),PAJAK[[#This Row],[//]]-2)))</f>
        <v>78</v>
      </c>
      <c r="C36" s="3" t="str">
        <f ca="1">IF(PAJAK[[#This Row],[//]]="","",INDEX(INDIRECT("NOTA["&amp;PAJAK[#Headers]&amp;"]"),PAJAK[[#This Row],[//]]-2))</f>
        <v>KEN_2210_338-5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5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44856</v>
      </c>
      <c r="H36" s="2">
        <f ca="1">IF(PAJAK[[#This Row],[//]]="","",INDEX(INDIRECT("NOTA["&amp;PAJAK[#Headers]&amp;"]"),PAJAK[[#This Row],[//]]-2))</f>
        <v>44851</v>
      </c>
      <c r="I36" s="7" t="str">
        <f ca="1">IF(PAJAK[[#This Row],[//]]="","",INDEX(INDIRECT("NOTA["&amp;PAJAK[#Headers]&amp;"]"),PAJAK[[#This Row],[//]]-2))</f>
        <v>22101338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16626000</v>
      </c>
      <c r="L36" s="1">
        <f ca="1">IF(PAJAK[[#This Row],[//]]="","",SUMIF(NOTA[ID_H],PAJAK[[#This Row],[ID]],NOTA[DISC]))</f>
        <v>2826420</v>
      </c>
      <c r="M36" s="1">
        <f ca="1">PAJAK[[#This Row],[SUB TOTAL]]-PAJAK[[#This Row],[DISKON]]</f>
        <v>13799580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12432054.054054054</v>
      </c>
      <c r="P36" s="1">
        <f ca="1">PAJAK[[#This Row],[DPP]]*PAJAK[[#This Row],[PPN]]</f>
        <v>1367525.9459459458</v>
      </c>
      <c r="Q36" s="1">
        <f ca="1">PAJAK[[#This Row],[DPP]]+PAJAK[[#This Row],[PPN 11%]]</f>
        <v>13799580</v>
      </c>
      <c r="R36" s="1" t="str">
        <f ca="1">IF(ISNUMBER(PAJAK[[#This Row],[//]]),PPN,"")</f>
        <v>11%</v>
      </c>
    </row>
    <row r="37" spans="1:18" x14ac:dyDescent="0.25">
      <c r="A37" s="3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338</v>
      </c>
      <c r="B37" s="3">
        <f ca="1">HYPERLINK("[NOTA_.XLSX]NOTA!c"&amp;PAJAK[[#This Row],[//]],IF(PAJAK[[#This Row],[//]]="","",INDEX(INDIRECT("NOTA["&amp;PAJAK[#Headers]&amp;"]"),PAJAK[[#This Row],[//]]-2)))</f>
        <v>79</v>
      </c>
      <c r="C37" s="3" t="str">
        <f ca="1">IF(PAJAK[[#This Row],[//]]="","",INDEX(INDIRECT("NOTA["&amp;PAJAK[#Headers]&amp;"]"),PAJAK[[#This Row],[//]]-2))</f>
        <v>KEN_2210_484-11</v>
      </c>
      <c r="D37" s="3" t="e">
        <f ca="1">MATCH(PAJAK[[#This Row],[ID]],[2]!Table1[ID],0)</f>
        <v>#REF!</v>
      </c>
      <c r="E37" s="7">
        <f ca="1">IF(PAJAK[[#This Row],[ID]]="","",COUNTIF(NOTA[ID_H],PAJAK[[#This Row],[ID]]))</f>
        <v>11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44856</v>
      </c>
      <c r="H37" s="2">
        <f ca="1">IF(PAJAK[[#This Row],[//]]="","",INDEX(INDIRECT("NOTA["&amp;PAJAK[#Headers]&amp;"]"),PAJAK[[#This Row],[//]]-2))</f>
        <v>44853</v>
      </c>
      <c r="I37" s="7" t="str">
        <f ca="1">IF(PAJAK[[#This Row],[//]]="","",INDEX(INDIRECT("NOTA["&amp;PAJAK[#Headers]&amp;"]"),PAJAK[[#This Row],[//]]-2))</f>
        <v>22101484</v>
      </c>
      <c r="J37" s="3" t="str">
        <f ca="1">IF(OR(PAJAK[[#This Row],[//]]="",INDEX(INDIRECT("NOTA["&amp;PAJAK[#Headers]&amp;"]"),PAJAK[[#This Row],[//]]-2)=""),"",INDEX(INDIRECT("NOTA["&amp;PAJAK[#Headers]&amp;"]"),PAJAK[[#This Row],[//]]-2))</f>
        <v/>
      </c>
      <c r="K37" s="1">
        <f ca="1">IF(PAJAK[[#This Row],[//]]="","",SUMIF(NOTA[ID_H],PAJAK[[#This Row],[ID]],NOTA[JUMLAH]))</f>
        <v>45016800</v>
      </c>
      <c r="L37" s="1">
        <f ca="1">IF(PAJAK[[#This Row],[//]]="","",SUMIF(NOTA[ID_H],PAJAK[[#This Row],[ID]],NOTA[DISC]))</f>
        <v>7652856</v>
      </c>
      <c r="M37" s="1">
        <f ca="1">PAJAK[[#This Row],[SUB TOTAL]]-PAJAK[[#This Row],[DISKON]]</f>
        <v>37363944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33661210.810810804</v>
      </c>
      <c r="P37" s="1">
        <f ca="1">PAJAK[[#This Row],[DPP]]*PAJAK[[#This Row],[PPN]]</f>
        <v>3702733.1891891886</v>
      </c>
      <c r="Q37" s="1">
        <f ca="1">PAJAK[[#This Row],[DPP]]+PAJAK[[#This Row],[PPN 11%]]</f>
        <v>37363943.999999993</v>
      </c>
      <c r="R37" s="1" t="str">
        <f ca="1">IF(ISNUMBER(PAJAK[[#This Row],[//]]),PPN,"")</f>
        <v>11%</v>
      </c>
    </row>
    <row r="38" spans="1:18" x14ac:dyDescent="0.25">
      <c r="A38" s="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350</v>
      </c>
      <c r="B38" s="3">
        <f ca="1">HYPERLINK("[NOTA_.XLSX]NOTA!c"&amp;PAJAK[[#This Row],[//]],IF(PAJAK[[#This Row],[//]]="","",INDEX(INDIRECT("NOTA["&amp;PAJAK[#Headers]&amp;"]"),PAJAK[[#This Row],[//]]-2)))</f>
        <v>80</v>
      </c>
      <c r="C38" s="3" t="str">
        <f ca="1">IF(PAJAK[[#This Row],[//]]="","",INDEX(INDIRECT("NOTA["&amp;PAJAK[#Headers]&amp;"]"),PAJAK[[#This Row],[//]]-2))</f>
        <v>ATA_2210_532-6</v>
      </c>
      <c r="D38" s="3" t="e">
        <f ca="1">MATCH(PAJAK[[#This Row],[ID]],[2]!Table1[ID],0)</f>
        <v>#REF!</v>
      </c>
      <c r="E38" s="7">
        <f ca="1">IF(PAJAK[[#This Row],[ID]]="","",COUNTIF(NOTA[ID_H],PAJAK[[#This Row],[ID]]))</f>
        <v>6</v>
      </c>
      <c r="F38" s="3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44856</v>
      </c>
      <c r="H38" s="2">
        <f ca="1">IF(PAJAK[[#This Row],[//]]="","",INDEX(INDIRECT("NOTA["&amp;PAJAK[#Headers]&amp;"]"),PAJAK[[#This Row],[//]]-2))</f>
        <v>44852</v>
      </c>
      <c r="I38" s="7" t="str">
        <f ca="1">IF(PAJAK[[#This Row],[//]]="","",INDEX(INDIRECT("NOTA["&amp;PAJAK[#Headers]&amp;"]"),PAJAK[[#This Row],[//]]-2))</f>
        <v>SA221016532</v>
      </c>
      <c r="J38" s="3" t="str">
        <f ca="1">IF(OR(PAJAK[[#This Row],[//]]="",INDEX(INDIRECT("NOTA["&amp;PAJAK[#Headers]&amp;"]"),PAJAK[[#This Row],[//]]-2)=""),"",INDEX(INDIRECT("NOTA["&amp;PAJAK[#Headers]&amp;"]"),PAJAK[[#This Row],[//]]-2))</f>
        <v/>
      </c>
      <c r="K38" s="1">
        <f ca="1">IF(PAJAK[[#This Row],[//]]="","",SUMIF(NOTA[ID_H],PAJAK[[#This Row],[ID]],NOTA[JUMLAH]))</f>
        <v>13332000</v>
      </c>
      <c r="L38" s="1">
        <f ca="1">IF(PAJAK[[#This Row],[//]]="","",SUMIF(NOTA[ID_H],PAJAK[[#This Row],[ID]],NOTA[DISC]))</f>
        <v>2243077.5</v>
      </c>
      <c r="M38" s="1">
        <f ca="1">PAJAK[[#This Row],[SUB TOTAL]]-PAJAK[[#This Row],[DISKON]]</f>
        <v>11088922.5</v>
      </c>
      <c r="N38" s="1">
        <f ca="1">IF(PAJAK[[#This Row],[//]]="","",INDEX(INDIRECT("NOTA["&amp;PAJAK[#Headers]&amp;"]"),PAJAK[[#This Row],[//]]-2+PAJAK[[#This Row],[QB]]-1))</f>
        <v>241600</v>
      </c>
      <c r="O38" s="1">
        <f ca="1">(PAJAK[[#This Row],[SUB T-DISC]]-PAJAK[[#This Row],[DISC DLL]])/111%</f>
        <v>9772362.6126126125</v>
      </c>
      <c r="P38" s="1">
        <f ca="1">PAJAK[[#This Row],[DPP]]*PAJAK[[#This Row],[PPN]]</f>
        <v>1074959.8873873875</v>
      </c>
      <c r="Q38" s="1">
        <f ca="1">PAJAK[[#This Row],[DPP]]+PAJAK[[#This Row],[PPN 11%]]</f>
        <v>10847322.5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357</v>
      </c>
      <c r="B39" s="3">
        <f ca="1">HYPERLINK("[NOTA_.XLSX]NOTA!c"&amp;PAJAK[[#This Row],[//]],IF(PAJAK[[#This Row],[//]]="","",INDEX(INDIRECT("NOTA["&amp;PAJAK[#Headers]&amp;"]"),PAJAK[[#This Row],[//]]-2)))</f>
        <v>81</v>
      </c>
      <c r="C39" s="3" t="str">
        <f ca="1">IF(PAJAK[[#This Row],[//]]="","",INDEX(INDIRECT("NOTA["&amp;PAJAK[#Headers]&amp;"]"),PAJAK[[#This Row],[//]]-2))</f>
        <v>ATA_2210_587-11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11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44856</v>
      </c>
      <c r="H39" s="2">
        <f ca="1">IF(PAJAK[[#This Row],[//]]="","",INDEX(INDIRECT("NOTA["&amp;PAJAK[#Headers]&amp;"]"),PAJAK[[#This Row],[//]]-2))</f>
        <v>44853</v>
      </c>
      <c r="I39" s="7" t="str">
        <f ca="1">IF(PAJAK[[#This Row],[//]]="","",INDEX(INDIRECT("NOTA["&amp;PAJAK[#Headers]&amp;"]"),PAJAK[[#This Row],[//]]-2))</f>
        <v>SA221016587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43106000</v>
      </c>
      <c r="L39" s="1">
        <f ca="1">IF(PAJAK[[#This Row],[//]]="","",SUMIF(NOTA[ID_H],PAJAK[[#This Row],[ID]],NOTA[DISC]))</f>
        <v>7274137.5</v>
      </c>
      <c r="M39" s="1">
        <f ca="1">PAJAK[[#This Row],[SUB TOTAL]]-PAJAK[[#This Row],[DISKON]]</f>
        <v>35831862.5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32280957.207207203</v>
      </c>
      <c r="P39" s="1">
        <f ca="1">PAJAK[[#This Row],[DPP]]*PAJAK[[#This Row],[PPN]]</f>
        <v>3550905.2927927924</v>
      </c>
      <c r="Q39" s="1">
        <f ca="1">PAJAK[[#This Row],[DPP]]+PAJAK[[#This Row],[PPN 11%]]</f>
        <v>35831862.499999993</v>
      </c>
      <c r="R39" s="1" t="str">
        <f ca="1">IF(ISNUMBER(PAJAK[[#This Row],[//]]),PPN,"")</f>
        <v>11%</v>
      </c>
    </row>
    <row r="40" spans="1:18" s="146" customFormat="1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369</v>
      </c>
      <c r="B40" s="3">
        <f ca="1">HYPERLINK("[NOTA_.XLSX]NOTA!c"&amp;PAJAK[[#This Row],[//]],IF(PAJAK[[#This Row],[//]]="","",INDEX(INDIRECT("NOTA["&amp;PAJAK[#Headers]&amp;"]"),PAJAK[[#This Row],[//]]-2)))</f>
        <v>82</v>
      </c>
      <c r="C40" s="3" t="str">
        <f ca="1">IF(PAJAK[[#This Row],[//]]="","",INDEX(INDIRECT("NOTA["&amp;PAJAK[#Headers]&amp;"]"),PAJAK[[#This Row],[//]]-2))</f>
        <v>ATA_2210_588-12</v>
      </c>
      <c r="D40" s="3" t="e">
        <f ca="1">MATCH(PAJAK[[#This Row],[ID]],[2]!Table1[ID],0)</f>
        <v>#REF!</v>
      </c>
      <c r="E40" s="7">
        <f ca="1">IF(PAJAK[[#This Row],[ID]]="","",COUNTIF(NOTA[ID_H],PAJAK[[#This Row],[ID]]))</f>
        <v>12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44856</v>
      </c>
      <c r="H40" s="2">
        <f ca="1">IF(PAJAK[[#This Row],[//]]="","",INDEX(INDIRECT("NOTA["&amp;PAJAK[#Headers]&amp;"]"),PAJAK[[#This Row],[//]]-2))</f>
        <v>44853</v>
      </c>
      <c r="I40" s="7" t="str">
        <f ca="1">IF(PAJAK[[#This Row],[//]]="","",INDEX(INDIRECT("NOTA["&amp;PAJAK[#Headers]&amp;"]"),PAJAK[[#This Row],[//]]-2))</f>
        <v>SA221016588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42629200</v>
      </c>
      <c r="L40" s="1">
        <f ca="1">IF(PAJAK[[#This Row],[//]]="","",SUMIF(NOTA[ID_H],PAJAK[[#This Row],[ID]],NOTA[DISC]))</f>
        <v>7193677.5</v>
      </c>
      <c r="M40" s="1">
        <f ca="1">PAJAK[[#This Row],[SUB TOTAL]]-PAJAK[[#This Row],[DISKON]]</f>
        <v>35435522.5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31923894.14414414</v>
      </c>
      <c r="P40" s="1">
        <f ca="1">PAJAK[[#This Row],[DPP]]*PAJAK[[#This Row],[PPN]]</f>
        <v>3511628.3558558556</v>
      </c>
      <c r="Q40" s="1">
        <f ca="1">PAJAK[[#This Row],[DPP]]+PAJAK[[#This Row],[PPN 11%]]</f>
        <v>35435522.499999993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382</v>
      </c>
      <c r="B41" s="3">
        <f ca="1">HYPERLINK("[NOTA_.XLSX]NOTA!c"&amp;PAJAK[[#This Row],[//]],IF(PAJAK[[#This Row],[//]]="","",INDEX(INDIRECT("NOTA["&amp;PAJAK[#Headers]&amp;"]"),PAJAK[[#This Row],[//]]-2)))</f>
        <v>83</v>
      </c>
      <c r="C41" s="3" t="str">
        <f ca="1">IF(PAJAK[[#This Row],[//]]="","",INDEX(INDIRECT("NOTA["&amp;PAJAK[#Headers]&amp;"]"),PAJAK[[#This Row],[//]]-2))</f>
        <v>ATA_2210_590-2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ATALI MAKMUR</v>
      </c>
      <c r="G41" s="2">
        <f ca="1">IF(PAJAK[[#This Row],[//]]="","",INDEX(NOTA[TGL_H],PAJAK[[#This Row],[//]]-2))</f>
        <v>44856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SA221016590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17532000</v>
      </c>
      <c r="L41" s="1">
        <f ca="1">IF(PAJAK[[#This Row],[//]]="","",SUMIF(NOTA[ID_H],PAJAK[[#This Row],[ID]],NOTA[DISC]))</f>
        <v>2952540</v>
      </c>
      <c r="M41" s="1">
        <f ca="1">PAJAK[[#This Row],[SUB TOTAL]]-PAJAK[[#This Row],[DISKON]]</f>
        <v>14579460</v>
      </c>
      <c r="N41" s="1">
        <f ca="1">IF(PAJAK[[#This Row],[//]]="","",INDEX(INDIRECT("NOTA["&amp;PAJAK[#Headers]&amp;"]"),PAJAK[[#This Row],[//]]-2+PAJAK[[#This Row],[QB]]-1))</f>
        <v>215460</v>
      </c>
      <c r="O41" s="1">
        <f ca="1">(PAJAK[[#This Row],[SUB T-DISC]]-PAJAK[[#This Row],[DISC DLL]])/111%</f>
        <v>12940540.540540539</v>
      </c>
      <c r="P41" s="1">
        <f ca="1">PAJAK[[#This Row],[DPP]]*PAJAK[[#This Row],[PPN]]</f>
        <v>1423459.4594594592</v>
      </c>
      <c r="Q41" s="1">
        <f ca="1">PAJAK[[#This Row],[DPP]]+PAJAK[[#This Row],[PPN 11%]]</f>
        <v>14363999.999999998</v>
      </c>
      <c r="R41" s="1" t="str">
        <f ca="1">IF(ISNUMBER(PAJAK[[#This Row],[//]]),PPN,"")</f>
        <v>11%</v>
      </c>
    </row>
    <row r="42" spans="1:18" x14ac:dyDescent="0.25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385</v>
      </c>
      <c r="B42" s="15">
        <f ca="1">HYPERLINK("[NOTA_.XLSX]NOTA!c"&amp;PAJAK[[#This Row],[//]],IF(PAJAK[[#This Row],[//]]="","",INDEX(INDIRECT("NOTA["&amp;PAJAK[#Headers]&amp;"]"),PAJAK[[#This Row],[//]]-2)))</f>
        <v>84</v>
      </c>
      <c r="C42" t="str">
        <f ca="1">IF(PAJAK[[#This Row],[//]]="","",INDEX(INDIRECT("NOTA["&amp;PAJAK[#Headers]&amp;"]"),PAJAK[[#This Row],[//]]-2))</f>
        <v>ATA_2210_643-3</v>
      </c>
      <c r="D42" t="e">
        <f ca="1">MATCH(PAJAK[[#This Row],[ID]],[2]!Table1[ID],0)</f>
        <v>#REF!</v>
      </c>
      <c r="E42" s="5">
        <f ca="1">IF(PAJAK[[#This Row],[ID]]="","",COUNTIF(NOTA[ID_H],PAJAK[[#This Row],[ID]]))</f>
        <v>3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44854</v>
      </c>
      <c r="I42" s="7" t="str">
        <f ca="1">IF(PAJAK[[#This Row],[//]]="","",INDEX(INDIRECT("NOTA["&amp;PAJAK[#Headers]&amp;"]"),PAJAK[[#This Row],[//]]-2))</f>
        <v>SA221016643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21211200</v>
      </c>
      <c r="L42" s="1">
        <f ca="1">IF(PAJAK[[#This Row],[//]]="","",SUMIF(NOTA[ID_H],PAJAK[[#This Row],[ID]],NOTA[DISC]))</f>
        <v>3579390</v>
      </c>
      <c r="M42" s="1">
        <f ca="1">PAJAK[[#This Row],[SUB TOTAL]]-PAJAK[[#This Row],[DISKON]]</f>
        <v>17631810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15884513.513513513</v>
      </c>
      <c r="P42" s="1">
        <f ca="1">PAJAK[[#This Row],[DPP]]*PAJAK[[#This Row],[PPN]]</f>
        <v>1747296.4864864864</v>
      </c>
      <c r="Q42" s="1">
        <f ca="1">PAJAK[[#This Row],[DPP]]+PAJAK[[#This Row],[PPN 11%]]</f>
        <v>17631810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389</v>
      </c>
      <c r="B43" s="15">
        <f ca="1">HYPERLINK("[NOTA_.XLSX]NOTA!c"&amp;PAJAK[[#This Row],[//]],IF(PAJAK[[#This Row],[//]]="","",INDEX(INDIRECT("NOTA["&amp;PAJAK[#Headers]&amp;"]"),PAJAK[[#This Row],[//]]-2)))</f>
        <v>85</v>
      </c>
      <c r="C43" t="str">
        <f ca="1">IF(PAJAK[[#This Row],[//]]="","",INDEX(INDIRECT("NOTA["&amp;PAJAK[#Headers]&amp;"]"),PAJAK[[#This Row],[//]]-2))</f>
        <v>KAL_2410_120-2</v>
      </c>
      <c r="D43" t="e">
        <f ca="1">MATCH(PAJAK[[#This Row],[ID]],[2]!Table1[ID],0)</f>
        <v>#REF!</v>
      </c>
      <c r="E43" s="5">
        <f ca="1">IF(PAJAK[[#This Row],[ID]]="","",COUNTIF(NOTA[ID_H],PAJAK[[#This Row],[ID]]))</f>
        <v>2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44858</v>
      </c>
      <c r="H43" s="2">
        <f ca="1">IF(PAJAK[[#This Row],[//]]="","",INDEX(INDIRECT("NOTA["&amp;PAJAK[#Headers]&amp;"]"),PAJAK[[#This Row],[//]]-2))</f>
        <v>44855</v>
      </c>
      <c r="I43" s="7" t="str">
        <f ca="1">IF(PAJAK[[#This Row],[//]]="","",INDEX(INDIRECT("NOTA["&amp;PAJAK[#Headers]&amp;"]"),PAJAK[[#This Row],[//]]-2))</f>
        <v>SN22102120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10080000</v>
      </c>
      <c r="L43" s="1">
        <f ca="1">IF(PAJAK[[#This Row],[//]]="","",SUMIF(NOTA[ID_H],PAJAK[[#This Row],[ID]],NOTA[DISC]))</f>
        <v>1701000</v>
      </c>
      <c r="M43" s="1">
        <f ca="1">PAJAK[[#This Row],[SUB TOTAL]]-PAJAK[[#This Row],[DISKON]]</f>
        <v>8379000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7548648.6486486476</v>
      </c>
      <c r="P43" s="1">
        <f ca="1">PAJAK[[#This Row],[DPP]]*PAJAK[[#This Row],[PPN]]</f>
        <v>830351.35135135124</v>
      </c>
      <c r="Q43" s="1">
        <f ca="1">PAJAK[[#This Row],[DPP]]+PAJAK[[#This Row],[PPN 11%]]</f>
        <v>8378999.9999999991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392</v>
      </c>
      <c r="B44" s="15">
        <f ca="1">HYPERLINK("[NOTA_.XLSX]NOTA!c"&amp;PAJAK[[#This Row],[//]],IF(PAJAK[[#This Row],[//]]="","",INDEX(INDIRECT("NOTA["&amp;PAJAK[#Headers]&amp;"]"),PAJAK[[#This Row],[//]]-2)))</f>
        <v>86</v>
      </c>
      <c r="C44" t="str">
        <f ca="1">IF(PAJAK[[#This Row],[//]]="","",INDEX(INDIRECT("NOTA["&amp;PAJAK[#Headers]&amp;"]"),PAJAK[[#This Row],[//]]-2))</f>
        <v>ATA_2410_685-2</v>
      </c>
      <c r="D44" t="e">
        <f ca="1">MATCH(PAJAK[[#This Row],[ID]],[2]!Table1[ID],0)</f>
        <v>#REF!</v>
      </c>
      <c r="E44" s="5">
        <f ca="1">IF(PAJAK[[#This Row],[ID]]="","",COUNTIF(NOTA[ID_H],PAJAK[[#This Row],[ID]]))</f>
        <v>2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44858</v>
      </c>
      <c r="H44" s="2">
        <f ca="1">IF(PAJAK[[#This Row],[//]]="","",INDEX(INDIRECT("NOTA["&amp;PAJAK[#Headers]&amp;"]"),PAJAK[[#This Row],[//]]-2))</f>
        <v>44855</v>
      </c>
      <c r="I44" s="7" t="str">
        <f ca="1">IF(PAJAK[[#This Row],[//]]="","",INDEX(INDIRECT("NOTA["&amp;PAJAK[#Headers]&amp;"]"),PAJAK[[#This Row],[//]]-2))</f>
        <v>SA221016685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9915000</v>
      </c>
      <c r="L44" s="1">
        <f ca="1">IF(PAJAK[[#This Row],[//]]="","",SUMIF(NOTA[ID_H],PAJAK[[#This Row],[ID]],NOTA[DISC]))</f>
        <v>1673156.25</v>
      </c>
      <c r="M44" s="1">
        <f ca="1">PAJAK[[#This Row],[SUB TOTAL]]-PAJAK[[#This Row],[DISKON]]</f>
        <v>8241843.75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7425084.4594594585</v>
      </c>
      <c r="P44" s="1">
        <f ca="1">PAJAK[[#This Row],[DPP]]*PAJAK[[#This Row],[PPN]]</f>
        <v>816759.29054054047</v>
      </c>
      <c r="Q44" s="1">
        <f ca="1">PAJAK[[#This Row],[DPP]]+PAJAK[[#This Row],[PPN 11%]]</f>
        <v>8241843.7499999991</v>
      </c>
      <c r="R44" s="1" t="str">
        <f ca="1">IF(ISNUMBER(PAJAK[[#This Row],[//]]),PPN,"")</f>
        <v>11%</v>
      </c>
    </row>
    <row r="45" spans="1:18" x14ac:dyDescent="0.25">
      <c r="A4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412</v>
      </c>
      <c r="B45" s="15">
        <f ca="1">HYPERLINK("[NOTA_.XLSX]NOTA!c"&amp;PAJAK[[#This Row],[//]],IF(PAJAK[[#This Row],[//]]="","",INDEX(INDIRECT("NOTA["&amp;PAJAK[#Headers]&amp;"]"),PAJAK[[#This Row],[//]]-2)))</f>
        <v>93</v>
      </c>
      <c r="C45" t="str">
        <f ca="1">IF(PAJAK[[#This Row],[//]]="","",INDEX(INDIRECT("NOTA["&amp;PAJAK[#Headers]&amp;"]"),PAJAK[[#This Row],[//]]-2))</f>
        <v>KEN_2710_602-7</v>
      </c>
      <c r="D45" t="e">
        <f ca="1">MATCH(PAJAK[[#This Row],[ID]],[2]!Table1[ID],0)</f>
        <v>#REF!</v>
      </c>
      <c r="E45" s="5">
        <f ca="1">IF(PAJAK[[#This Row],[ID]]="","",COUNTIF(NOTA[ID_H],PAJAK[[#This Row],[ID]]))</f>
        <v>7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44861</v>
      </c>
      <c r="H45" s="2">
        <f ca="1">IF(PAJAK[[#This Row],[//]]="","",INDEX(INDIRECT("NOTA["&amp;PAJAK[#Headers]&amp;"]"),PAJAK[[#This Row],[//]]-2))</f>
        <v>44854</v>
      </c>
      <c r="I45" s="7" t="str">
        <f ca="1">IF(PAJAK[[#This Row],[//]]="","",INDEX(INDIRECT("NOTA["&amp;PAJAK[#Headers]&amp;"]"),PAJAK[[#This Row],[//]]-2))</f>
        <v>22101602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45" s="1">
        <f ca="1">IF(PAJAK[[#This Row],[//]]="","",SUMIF(NOTA[ID_H],PAJAK[[#This Row],[ID]],NOTA[JUMLAH]))</f>
        <v>50158000</v>
      </c>
      <c r="L45" s="1">
        <f ca="1">IF(PAJAK[[#This Row],[//]]="","",SUMIF(NOTA[ID_H],PAJAK[[#This Row],[ID]],NOTA[DISC]))</f>
        <v>8526860</v>
      </c>
      <c r="M45" s="1">
        <f ca="1">PAJAK[[#This Row],[SUB TOTAL]]-PAJAK[[#This Row],[DISKON]]</f>
        <v>41631140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37505531.531531528</v>
      </c>
      <c r="P45" s="1">
        <f ca="1">PAJAK[[#This Row],[DPP]]*PAJAK[[#This Row],[PPN]]</f>
        <v>4125608.4684684682</v>
      </c>
      <c r="Q45" s="1">
        <f ca="1">PAJAK[[#This Row],[DPP]]+PAJAK[[#This Row],[PPN 11%]]</f>
        <v>41631139.999999993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420</v>
      </c>
      <c r="B46" s="15">
        <f ca="1">HYPERLINK("[NOTA_.XLSX]NOTA!c"&amp;PAJAK[[#This Row],[//]],IF(PAJAK[[#This Row],[//]]="","",INDEX(INDIRECT("NOTA["&amp;PAJAK[#Headers]&amp;"]"),PAJAK[[#This Row],[//]]-2)))</f>
        <v>94</v>
      </c>
      <c r="C46" t="str">
        <f ca="1">IF(PAJAK[[#This Row],[//]]="","",INDEX(INDIRECT("NOTA["&amp;PAJAK[#Headers]&amp;"]"),PAJAK[[#This Row],[//]]-2))</f>
        <v>KEN_2710_616-6</v>
      </c>
      <c r="D46" t="e">
        <f ca="1">MATCH(PAJAK[[#This Row],[ID]],[2]!Table1[ID],0)</f>
        <v>#REF!</v>
      </c>
      <c r="E46" s="5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44861</v>
      </c>
      <c r="H46" s="2">
        <f ca="1">IF(PAJAK[[#This Row],[//]]="","",INDEX(INDIRECT("NOTA["&amp;PAJAK[#Headers]&amp;"]"),PAJAK[[#This Row],[//]]-2))</f>
        <v>44854</v>
      </c>
      <c r="I46" s="7" t="str">
        <f ca="1">IF(PAJAK[[#This Row],[//]]="","",INDEX(INDIRECT("NOTA["&amp;PAJAK[#Headers]&amp;"]"),PAJAK[[#This Row],[//]]-2))</f>
        <v>22101616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46" s="1">
        <f ca="1">IF(PAJAK[[#This Row],[//]]="","",SUMIF(NOTA[ID_H],PAJAK[[#This Row],[ID]],NOTA[JUMLAH]))</f>
        <v>14843600</v>
      </c>
      <c r="L46" s="1">
        <f ca="1">IF(PAJAK[[#This Row],[//]]="","",SUMIF(NOTA[ID_H],PAJAK[[#This Row],[ID]],NOTA[DISC]))</f>
        <v>2523412</v>
      </c>
      <c r="M46" s="1">
        <f ca="1">PAJAK[[#This Row],[SUB TOTAL]]-PAJAK[[#This Row],[DISKON]]</f>
        <v>12320188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11099268.468468467</v>
      </c>
      <c r="P46" s="1">
        <f ca="1">PAJAK[[#This Row],[DPP]]*PAJAK[[#This Row],[PPN]]</f>
        <v>1220919.5315315314</v>
      </c>
      <c r="Q46" s="1">
        <f ca="1">PAJAK[[#This Row],[DPP]]+PAJAK[[#This Row],[PPN 11%]]</f>
        <v>12320187.999999998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427</v>
      </c>
      <c r="B47" s="12">
        <f ca="1">HYPERLINK("[NOTA_.XLSX]NOTA!c"&amp;PAJAK[[#This Row],[//]],IF(PAJAK[[#This Row],[//]]="","",INDEX(INDIRECT("NOTA["&amp;PAJAK[#Headers]&amp;"]"),PAJAK[[#This Row],[//]]-2)))</f>
        <v>95</v>
      </c>
      <c r="C47" s="3" t="str">
        <f ca="1">IF(PAJAK[[#This Row],[//]]="","",INDEX(INDIRECT("NOTA["&amp;PAJAK[#Headers]&amp;"]"),PAJAK[[#This Row],[//]]-2))</f>
        <v>KEN_2710_711-2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44861</v>
      </c>
      <c r="H47" s="2">
        <f ca="1">IF(PAJAK[[#This Row],[//]]="","",INDEX(INDIRECT("NOTA["&amp;PAJAK[#Headers]&amp;"]"),PAJAK[[#This Row],[//]]-2))</f>
        <v>44855</v>
      </c>
      <c r="I47" s="7" t="str">
        <f ca="1">IF(PAJAK[[#This Row],[//]]="","",INDEX(INDIRECT("NOTA["&amp;PAJAK[#Headers]&amp;"]"),PAJAK[[#This Row],[//]]-2))</f>
        <v>22101711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47" s="1">
        <f ca="1">IF(PAJAK[[#This Row],[//]]="","",SUMIF(NOTA[ID_H],PAJAK[[#This Row],[ID]],NOTA[JUMLAH]))</f>
        <v>11620800</v>
      </c>
      <c r="L47" s="1">
        <f ca="1">IF(PAJAK[[#This Row],[//]]="","",SUMIF(NOTA[ID_H],PAJAK[[#This Row],[ID]],NOTA[DISC]))</f>
        <v>1975536</v>
      </c>
      <c r="M47" s="1">
        <f ca="1">PAJAK[[#This Row],[SUB TOTAL]]-PAJAK[[#This Row],[DISKON]]</f>
        <v>9645264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8689427.0270270258</v>
      </c>
      <c r="P47" s="1">
        <f ca="1">PAJAK[[#This Row],[DPP]]*PAJAK[[#This Row],[PPN]]</f>
        <v>955836.9729729729</v>
      </c>
      <c r="Q47" s="1">
        <f ca="1">PAJAK[[#This Row],[DPP]]+PAJAK[[#This Row],[PPN 11%]]</f>
        <v>9645263.9999999981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430</v>
      </c>
      <c r="B48" s="15">
        <f ca="1">HYPERLINK("[NOTA_.XLSX]NOTA!c"&amp;PAJAK[[#This Row],[//]],IF(PAJAK[[#This Row],[//]]="","",INDEX(INDIRECT("NOTA["&amp;PAJAK[#Headers]&amp;"]"),PAJAK[[#This Row],[//]]-2)))</f>
        <v>96</v>
      </c>
      <c r="C48" t="str">
        <f ca="1">IF(PAJAK[[#This Row],[//]]="","",INDEX(INDIRECT("NOTA["&amp;PAJAK[#Headers]&amp;"]"),PAJAK[[#This Row],[//]]-2))</f>
        <v>LAY_2710_010-1</v>
      </c>
      <c r="D48" t="e">
        <f ca="1">MATCH(PAJAK[[#This Row],[ID]],[2]!Table1[ID],0)</f>
        <v>#REF!</v>
      </c>
      <c r="E48" s="5">
        <f ca="1">IF(PAJAK[[#This Row],[ID]]="","",COUNTIF(NOTA[ID_H],PAJAK[[#This Row],[ID]]))</f>
        <v>1</v>
      </c>
      <c r="F48" s="3" t="str">
        <f ca="1">IF(PAJAK[[#This Row],[//]]="","",INDEX(CONV[2],MATCH(INDEX(INDIRECT("NOTA["&amp;PAJAK[#Headers]&amp;"]"),PAJAK[[#This Row],[//]]-2),CONV[1],0),0))</f>
        <v>PT MITRA GLOBAL NIAGA</v>
      </c>
      <c r="G48" s="2">
        <f ca="1">IF(PAJAK[[#This Row],[//]]="","",INDEX(NOTA[TGL_H],PAJAK[[#This Row],[//]]-2))</f>
        <v>44861</v>
      </c>
      <c r="H48" s="2">
        <f ca="1">IF(PAJAK[[#This Row],[//]]="","",INDEX(INDIRECT("NOTA["&amp;PAJAK[#Headers]&amp;"]"),PAJAK[[#This Row],[//]]-2))</f>
        <v>44856</v>
      </c>
      <c r="I48" s="7" t="str">
        <f ca="1">IF(PAJAK[[#This Row],[//]]="","",INDEX(INDIRECT("NOTA["&amp;PAJAK[#Headers]&amp;"]"),PAJAK[[#This Row],[//]]-2))</f>
        <v>L310010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6000000</v>
      </c>
      <c r="L48" s="1">
        <f ca="1">IF(PAJAK[[#This Row],[//]]="","",SUMIF(NOTA[ID_H],PAJAK[[#This Row],[ID]],NOTA[DISC]))</f>
        <v>0</v>
      </c>
      <c r="M48" s="1">
        <f ca="1">PAJAK[[#This Row],[SUB TOTAL]]-PAJAK[[#This Row],[DISKON]]</f>
        <v>6000000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5405405.405405405</v>
      </c>
      <c r="P48" s="1">
        <f ca="1">PAJAK[[#This Row],[DPP]]*PAJAK[[#This Row],[PPN]]</f>
        <v>594594.59459459456</v>
      </c>
      <c r="Q48" s="1">
        <f ca="1">PAJAK[[#This Row],[DPP]]+PAJAK[[#This Row],[PPN 11%]]</f>
        <v>6000000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436</v>
      </c>
      <c r="B49" s="15">
        <f ca="1">HYPERLINK("[NOTA_.XLSX]NOTA!c"&amp;PAJAK[[#This Row],[//]],IF(PAJAK[[#This Row],[//]]="","",INDEX(INDIRECT("NOTA["&amp;PAJAK[#Headers]&amp;"]"),PAJAK[[#This Row],[//]]-2)))</f>
        <v>99</v>
      </c>
      <c r="C49" t="str">
        <f ca="1">IF(PAJAK[[#This Row],[//]]="","",INDEX(INDIRECT("NOTA["&amp;PAJAK[#Headers]&amp;"]"),PAJAK[[#This Row],[//]]-2))</f>
        <v>ATA_2810_883-2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44862</v>
      </c>
      <c r="H49" s="2">
        <f ca="1">IF(PAJAK[[#This Row],[//]]="","",INDEX(INDIRECT("NOTA["&amp;PAJAK[#Headers]&amp;"]"),PAJAK[[#This Row],[//]]-2))</f>
        <v>44858</v>
      </c>
      <c r="I49" s="7" t="str">
        <f ca="1">IF(PAJAK[[#This Row],[//]]="","",INDEX(INDIRECT("NOTA["&amp;PAJAK[#Headers]&amp;"]"),PAJAK[[#This Row],[//]]-2))</f>
        <v>SA221016883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84780000</v>
      </c>
      <c r="L49" s="1">
        <f ca="1">IF(PAJAK[[#This Row],[//]]="","",SUMIF(NOTA[ID_H],PAJAK[[#This Row],[ID]],NOTA[DISC]))</f>
        <v>14306625</v>
      </c>
      <c r="M49" s="1">
        <f ca="1">PAJAK[[#This Row],[SUB TOTAL]]-PAJAK[[#This Row],[DISKON]]</f>
        <v>70473375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63489527.027027018</v>
      </c>
      <c r="P49" s="1">
        <f ca="1">PAJAK[[#This Row],[DPP]]*PAJAK[[#This Row],[PPN]]</f>
        <v>6983847.9729729723</v>
      </c>
      <c r="Q49" s="1">
        <f ca="1">PAJAK[[#This Row],[DPP]]+PAJAK[[#This Row],[PPN 11%]]</f>
        <v>70473374.999999985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439</v>
      </c>
      <c r="B50" s="15">
        <f ca="1">HYPERLINK("[NOTA_.XLSX]NOTA!c"&amp;PAJAK[[#This Row],[//]],IF(PAJAK[[#This Row],[//]]="","",INDEX(INDIRECT("NOTA["&amp;PAJAK[#Headers]&amp;"]"),PAJAK[[#This Row],[//]]-2)))</f>
        <v>100</v>
      </c>
      <c r="C50" t="str">
        <f ca="1">IF(PAJAK[[#This Row],[//]]="","",INDEX(INDIRECT("NOTA["&amp;PAJAK[#Headers]&amp;"]"),PAJAK[[#This Row],[//]]-2))</f>
        <v>ATA_2810_937-5</v>
      </c>
      <c r="D50" t="e">
        <f ca="1">MATCH(PAJAK[[#This Row],[ID]],[2]!Table1[ID],0)</f>
        <v>#REF!</v>
      </c>
      <c r="E50" s="5">
        <f ca="1">IF(PAJAK[[#This Row],[ID]]="","",COUNTIF(NOTA[ID_H],PAJAK[[#This Row],[ID]]))</f>
        <v>5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44862</v>
      </c>
      <c r="H50" s="2">
        <f ca="1">IF(PAJAK[[#This Row],[//]]="","",INDEX(INDIRECT("NOTA["&amp;PAJAK[#Headers]&amp;"]"),PAJAK[[#This Row],[//]]-2))</f>
        <v>44858</v>
      </c>
      <c r="I50" s="7" t="str">
        <f ca="1">IF(PAJAK[[#This Row],[//]]="","",INDEX(INDIRECT("NOTA["&amp;PAJAK[#Headers]&amp;"]"),PAJAK[[#This Row],[//]]-2))</f>
        <v>SA221016937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7020000</v>
      </c>
      <c r="L50" s="1">
        <f ca="1">IF(PAJAK[[#This Row],[//]]="","",SUMIF(NOTA[ID_H],PAJAK[[#This Row],[ID]],NOTA[DISC]))</f>
        <v>1184625</v>
      </c>
      <c r="M50" s="1">
        <f ca="1">PAJAK[[#This Row],[SUB TOTAL]]-PAJAK[[#This Row],[DISKON]]</f>
        <v>5835375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5257094.5945945941</v>
      </c>
      <c r="P50" s="1">
        <f ca="1">PAJAK[[#This Row],[DPP]]*PAJAK[[#This Row],[PPN]]</f>
        <v>578280.40540540533</v>
      </c>
      <c r="Q50" s="1">
        <f ca="1">PAJAK[[#This Row],[DPP]]+PAJAK[[#This Row],[PPN 11%]]</f>
        <v>5835374.9999999991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445</v>
      </c>
      <c r="B51" s="15">
        <f ca="1">HYPERLINK("[NOTA_.XLSX]NOTA!c"&amp;PAJAK[[#This Row],[//]],IF(PAJAK[[#This Row],[//]]="","",INDEX(INDIRECT("NOTA["&amp;PAJAK[#Headers]&amp;"]"),PAJAK[[#This Row],[//]]-2)))</f>
        <v>101</v>
      </c>
      <c r="C51" t="str">
        <f ca="1">IF(PAJAK[[#This Row],[//]]="","",INDEX(INDIRECT("NOTA["&amp;PAJAK[#Headers]&amp;"]"),PAJAK[[#This Row],[//]]-2))</f>
        <v>KEN_2810_889-4</v>
      </c>
      <c r="D51" t="e">
        <f ca="1">MATCH(PAJAK[[#This Row],[ID]],[2]!Table1[ID],0)</f>
        <v>#REF!</v>
      </c>
      <c r="E51" s="5">
        <f ca="1">IF(PAJAK[[#This Row],[ID]]="","",COUNTIF(NOTA[ID_H],PAJAK[[#This Row],[ID]]))</f>
        <v>4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44862</v>
      </c>
      <c r="H51" s="2">
        <f ca="1">IF(PAJAK[[#This Row],[//]]="","",INDEX(INDIRECT("NOTA["&amp;PAJAK[#Headers]&amp;"]"),PAJAK[[#This Row],[//]]-2))</f>
        <v>44858</v>
      </c>
      <c r="I51" s="7" t="str">
        <f ca="1">IF(PAJAK[[#This Row],[//]]="","",INDEX(INDIRECT("NOTA["&amp;PAJAK[#Headers]&amp;"]"),PAJAK[[#This Row],[//]]-2))</f>
        <v>22101889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19045200</v>
      </c>
      <c r="L51" s="1">
        <f ca="1">IF(PAJAK[[#This Row],[//]]="","",SUMIF(NOTA[ID_H],PAJAK[[#This Row],[ID]],NOTA[DISC]))</f>
        <v>3237684</v>
      </c>
      <c r="M51" s="1">
        <f ca="1">PAJAK[[#This Row],[SUB TOTAL]]-PAJAK[[#This Row],[DISKON]]</f>
        <v>15807516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14241005.405405404</v>
      </c>
      <c r="P51" s="1">
        <f ca="1">PAJAK[[#This Row],[DPP]]*PAJAK[[#This Row],[PPN]]</f>
        <v>1566510.5945945946</v>
      </c>
      <c r="Q51" s="1">
        <f ca="1">PAJAK[[#This Row],[DPP]]+PAJAK[[#This Row],[PPN 11%]]</f>
        <v>15807515.999999998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450</v>
      </c>
      <c r="B52" s="15">
        <f ca="1">HYPERLINK("[NOTA_.XLSX]NOTA!c"&amp;PAJAK[[#This Row],[//]],IF(PAJAK[[#This Row],[//]]="","",INDEX(INDIRECT("NOTA["&amp;PAJAK[#Headers]&amp;"]"),PAJAK[[#This Row],[//]]-2)))</f>
        <v>102</v>
      </c>
      <c r="C52" t="str">
        <f ca="1">IF(PAJAK[[#This Row],[//]]="","",INDEX(INDIRECT("NOTA["&amp;PAJAK[#Headers]&amp;"]"),PAJAK[[#This Row],[//]]-2))</f>
        <v>KEN_2810_993-8</v>
      </c>
      <c r="D52" t="e">
        <f ca="1">MATCH(PAJAK[[#This Row],[ID]],[2]!Table1[ID],0)</f>
        <v>#REF!</v>
      </c>
      <c r="E52" s="5">
        <f ca="1">IF(PAJAK[[#This Row],[ID]]="","",COUNTIF(NOTA[ID_H],PAJAK[[#This Row],[ID]]))</f>
        <v>8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44862</v>
      </c>
      <c r="H52" s="2">
        <f ca="1">IF(PAJAK[[#This Row],[//]]="","",INDEX(INDIRECT("NOTA["&amp;PAJAK[#Headers]&amp;"]"),PAJAK[[#This Row],[//]]-2))</f>
        <v>44859</v>
      </c>
      <c r="I52" s="7" t="str">
        <f ca="1">IF(PAJAK[[#This Row],[//]]="","",INDEX(INDIRECT("NOTA["&amp;PAJAK[#Headers]&amp;"]"),PAJAK[[#This Row],[//]]-2))</f>
        <v>22101993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2" s="1">
        <f ca="1">IF(PAJAK[[#This Row],[//]]="","",SUMIF(NOTA[ID_H],PAJAK[[#This Row],[ID]],NOTA[JUMLAH]))</f>
        <v>57571200</v>
      </c>
      <c r="L52" s="1">
        <f ca="1">IF(PAJAK[[#This Row],[//]]="","",SUMIF(NOTA[ID_H],PAJAK[[#This Row],[ID]],NOTA[DISC]))</f>
        <v>9787104</v>
      </c>
      <c r="M52" s="1">
        <f ca="1">PAJAK[[#This Row],[SUB TOTAL]]-PAJAK[[#This Row],[DISKON]]</f>
        <v>47784096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43048735.135135129</v>
      </c>
      <c r="P52" s="1">
        <f ca="1">PAJAK[[#This Row],[DPP]]*PAJAK[[#This Row],[PPN]]</f>
        <v>4735360.8648648644</v>
      </c>
      <c r="Q52" s="1">
        <f ca="1">PAJAK[[#This Row],[DPP]]+PAJAK[[#This Row],[PPN 11%]]</f>
        <v>47784095.999999993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505</v>
      </c>
      <c r="B53" s="15">
        <f ca="1">HYPERLINK("[NOTA_.XLSX]NOTA!c"&amp;PAJAK[[#This Row],[//]],IF(PAJAK[[#This Row],[//]]="","",INDEX(INDIRECT("NOTA["&amp;PAJAK[#Headers]&amp;"]"),PAJAK[[#This Row],[//]]-2)))</f>
        <v>116</v>
      </c>
      <c r="C53" t="str">
        <f ca="1">IF(PAJAK[[#This Row],[//]]="","",INDEX(INDIRECT("NOTA["&amp;PAJAK[#Headers]&amp;"]"),PAJAK[[#This Row],[//]]-2))</f>
        <v>KEN_2910_070-7</v>
      </c>
      <c r="D53" t="e">
        <f ca="1">MATCH(PAJAK[[#This Row],[ID]],[2]!Table1[ID],0)</f>
        <v>#REF!</v>
      </c>
      <c r="E53" s="5">
        <f ca="1">IF(PAJAK[[#This Row],[ID]]="","",COUNTIF(NOTA[ID_H],PAJAK[[#This Row],[ID]]))</f>
        <v>7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44863</v>
      </c>
      <c r="H53" s="2">
        <f ca="1">IF(PAJAK[[#This Row],[//]]="","",INDEX(INDIRECT("NOTA["&amp;PAJAK[#Headers]&amp;"]"),PAJAK[[#This Row],[//]]-2))</f>
        <v>44859</v>
      </c>
      <c r="I53" s="7" t="str">
        <f ca="1">IF(PAJAK[[#This Row],[//]]="","",INDEX(INDIRECT("NOTA["&amp;PAJAK[#Headers]&amp;"]"),PAJAK[[#This Row],[//]]-2))</f>
        <v>22102070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3" s="1">
        <f ca="1">IF(PAJAK[[#This Row],[//]]="","",SUMIF(NOTA[ID_H],PAJAK[[#This Row],[ID]],NOTA[JUMLAH]))</f>
        <v>30373800</v>
      </c>
      <c r="L53" s="1">
        <f ca="1">IF(PAJAK[[#This Row],[//]]="","",SUMIF(NOTA[ID_H],PAJAK[[#This Row],[ID]],NOTA[DISC]))</f>
        <v>5163546</v>
      </c>
      <c r="M53" s="1">
        <f ca="1">PAJAK[[#This Row],[SUB TOTAL]]-PAJAK[[#This Row],[DISKON]]</f>
        <v>25210254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22711940.540540539</v>
      </c>
      <c r="P53" s="1">
        <f ca="1">PAJAK[[#This Row],[DPP]]*PAJAK[[#This Row],[PPN]]</f>
        <v>2498313.4594594594</v>
      </c>
      <c r="Q53" s="1">
        <f ca="1">PAJAK[[#This Row],[DPP]]+PAJAK[[#This Row],[PPN 11%]]</f>
        <v>25210254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513</v>
      </c>
      <c r="B54" s="15">
        <f ca="1">HYPERLINK("[NOTA_.XLSX]NOTA!c"&amp;PAJAK[[#This Row],[//]],IF(PAJAK[[#This Row],[//]]="","",INDEX(INDIRECT("NOTA["&amp;PAJAK[#Headers]&amp;"]"),PAJAK[[#This Row],[//]]-2)))</f>
        <v>117</v>
      </c>
      <c r="C54" t="str">
        <f ca="1">IF(PAJAK[[#This Row],[//]]="","",INDEX(INDIRECT("NOTA["&amp;PAJAK[#Headers]&amp;"]"),PAJAK[[#This Row],[//]]-2))</f>
        <v>KEN_2910_155-9</v>
      </c>
      <c r="D54" t="e">
        <f ca="1">MATCH(PAJAK[[#This Row],[ID]],[2]!Table1[ID],0)</f>
        <v>#REF!</v>
      </c>
      <c r="E54" s="5">
        <f ca="1">IF(PAJAK[[#This Row],[ID]]="","",COUNTIF(NOTA[ID_H],PAJAK[[#This Row],[ID]]))</f>
        <v>9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44863</v>
      </c>
      <c r="H54" s="2">
        <f ca="1">IF(PAJAK[[#This Row],[//]]="","",INDEX(INDIRECT("NOTA["&amp;PAJAK[#Headers]&amp;"]"),PAJAK[[#This Row],[//]]-2))</f>
        <v>44861</v>
      </c>
      <c r="I54" s="7" t="str">
        <f ca="1">IF(PAJAK[[#This Row],[//]]="","",INDEX(INDIRECT("NOTA["&amp;PAJAK[#Headers]&amp;"]"),PAJAK[[#This Row],[//]]-2))</f>
        <v>22102155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54" s="1">
        <f ca="1">IF(PAJAK[[#This Row],[//]]="","",SUMIF(NOTA[ID_H],PAJAK[[#This Row],[ID]],NOTA[JUMLAH]))</f>
        <v>26289200</v>
      </c>
      <c r="L54" s="1">
        <f ca="1">IF(PAJAK[[#This Row],[//]]="","",SUMIF(NOTA[ID_H],PAJAK[[#This Row],[ID]],NOTA[DISC]))</f>
        <v>4469164</v>
      </c>
      <c r="M54" s="1">
        <f ca="1">PAJAK[[#This Row],[SUB TOTAL]]-PAJAK[[#This Row],[DISKON]]</f>
        <v>21820036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19657690.090090089</v>
      </c>
      <c r="P54" s="1">
        <f ca="1">PAJAK[[#This Row],[DPP]]*PAJAK[[#This Row],[PPN]]</f>
        <v>2162345.9099099096</v>
      </c>
      <c r="Q54" s="1">
        <f ca="1">PAJAK[[#This Row],[DPP]]+PAJAK[[#This Row],[PPN 11%]]</f>
        <v>21820036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523</v>
      </c>
      <c r="B55" s="15">
        <f ca="1">HYPERLINK("[NOTA_.XLSX]NOTA!c"&amp;PAJAK[[#This Row],[//]],IF(PAJAK[[#This Row],[//]]="","",INDEX(INDIRECT("NOTA["&amp;PAJAK[#Headers]&amp;"]"),PAJAK[[#This Row],[//]]-2)))</f>
        <v>118</v>
      </c>
      <c r="C55" t="str">
        <f ca="1">IF(PAJAK[[#This Row],[//]]="","",INDEX(INDIRECT("NOTA["&amp;PAJAK[#Headers]&amp;"]"),PAJAK[[#This Row],[//]]-2))</f>
        <v>ATA_2910_041-2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44863</v>
      </c>
      <c r="H55" s="2">
        <f ca="1">IF(PAJAK[[#This Row],[//]]="","",INDEX(INDIRECT("NOTA["&amp;PAJAK[#Headers]&amp;"]"),PAJAK[[#This Row],[//]]-2))</f>
        <v>44860</v>
      </c>
      <c r="I55" s="7" t="str">
        <f ca="1">IF(PAJAK[[#This Row],[//]]="","",INDEX(INDIRECT("NOTA["&amp;PAJAK[#Headers]&amp;"]"),PAJAK[[#This Row],[//]]-2))</f>
        <v>SA221017041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16819200</v>
      </c>
      <c r="L55" s="1">
        <f ca="1">IF(PAJAK[[#This Row],[//]]="","",SUMIF(NOTA[ID_H],PAJAK[[#This Row],[ID]],NOTA[DISC]))</f>
        <v>2838240</v>
      </c>
      <c r="M55" s="1">
        <f ca="1">PAJAK[[#This Row],[SUB TOTAL]]-PAJAK[[#This Row],[DISKON]]</f>
        <v>13980960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12595459.459459458</v>
      </c>
      <c r="P55" s="1">
        <f ca="1">PAJAK[[#This Row],[DPP]]*PAJAK[[#This Row],[PPN]]</f>
        <v>1385500.5405405404</v>
      </c>
      <c r="Q55" s="1">
        <f ca="1">PAJAK[[#This Row],[DPP]]+PAJAK[[#This Row],[PPN 11%]]</f>
        <v>13980959.999999998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15">
        <f ca="1">HYPERLINK("[NOTA_.XLSX]NOTA!c"&amp;PAJAK[[#This Row],[//]],IF(PAJAK[[#This Row],[//]]="","",INDEX(INDIRECT("NOTA["&amp;PAJAK[#Headers]&amp;"]"),PAJAK[[#This Row],[//]]-2)))</f>
        <v>119</v>
      </c>
      <c r="C56" t="str">
        <f ca="1">IF(PAJAK[[#This Row],[//]]="","",INDEX(INDIRECT("NOTA["&amp;PAJAK[#Headers]&amp;"]"),PAJAK[[#This Row],[//]]-2))</f>
        <v>ATA_2910_008-5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44863</v>
      </c>
      <c r="H56" s="2">
        <f ca="1">IF(PAJAK[[#This Row],[//]]="","",INDEX(INDIRECT("NOTA["&amp;PAJAK[#Headers]&amp;"]"),PAJAK[[#This Row],[//]]-2))</f>
        <v>44859</v>
      </c>
      <c r="I56" s="7" t="str">
        <f ca="1">IF(PAJAK[[#This Row],[//]]="","",INDEX(INDIRECT("NOTA["&amp;PAJAK[#Headers]&amp;"]"),PAJAK[[#This Row],[//]]-2))</f>
        <v>SA221017008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27143300</v>
      </c>
      <c r="L56" s="1">
        <f ca="1">IF(PAJAK[[#This Row],[//]]="","",SUMIF(NOTA[ID_H],PAJAK[[#This Row],[ID]],NOTA[DISC]))</f>
        <v>4580431.875</v>
      </c>
      <c r="M56" s="1">
        <f ca="1">PAJAK[[#This Row],[SUB TOTAL]]-PAJAK[[#This Row],[DISKON]]</f>
        <v>22562868.125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20326908.22072072</v>
      </c>
      <c r="P56" s="1">
        <f ca="1">PAJAK[[#This Row],[DPP]]*PAJAK[[#This Row],[PPN]]</f>
        <v>2235959.9042792791</v>
      </c>
      <c r="Q56" s="1">
        <f ca="1">PAJAK[[#This Row],[DPP]]+PAJAK[[#This Row],[PPN 11%]]</f>
        <v>22562868.125</v>
      </c>
      <c r="R56" s="1" t="str">
        <f ca="1">IF(ISNUMBER(PAJAK[[#This Row],[//]]),PPN,"")</f>
        <v>11%</v>
      </c>
    </row>
    <row r="57" spans="1:18" s="146" customFormat="1" x14ac:dyDescent="0.25">
      <c r="A57" s="146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554</v>
      </c>
      <c r="B57" s="173">
        <f ca="1">HYPERLINK("[NOTA_.XLSX]NOTA!c"&amp;PAJAK[[#This Row],[//]],IF(PAJAK[[#This Row],[//]]="","",INDEX(INDIRECT("NOTA["&amp;PAJAK[#Headers]&amp;"]"),PAJAK[[#This Row],[//]]-2)))</f>
        <v>123</v>
      </c>
      <c r="C57" s="146" t="str">
        <f ca="1">IF(PAJAK[[#This Row],[//]]="","",INDEX(INDIRECT("NOTA["&amp;PAJAK[#Headers]&amp;"]"),PAJAK[[#This Row],[//]]-2))</f>
        <v>ATA_2910_097-4</v>
      </c>
      <c r="D57" s="146" t="e">
        <f ca="1">MATCH(PAJAK[[#This Row],[ID]],[2]!Table1[ID],0)</f>
        <v>#REF!</v>
      </c>
      <c r="E57" s="174">
        <f ca="1">IF(PAJAK[[#This Row],[ID]]="","",COUNTIF(NOTA[ID_H],PAJAK[[#This Row],[ID]]))</f>
        <v>4</v>
      </c>
      <c r="F57" s="142" t="str">
        <f ca="1">IF(PAJAK[[#This Row],[//]]="","",INDEX(CONV[2],MATCH(INDEX(INDIRECT("NOTA["&amp;PAJAK[#Headers]&amp;"]"),PAJAK[[#This Row],[//]]-2),CONV[1],0),0))</f>
        <v>PT ATALI MAKMUR</v>
      </c>
      <c r="G57" s="144">
        <f ca="1">IF(PAJAK[[#This Row],[//]]="","",INDEX(NOTA[TGL_H],PAJAK[[#This Row],[//]]-2))</f>
        <v>44863</v>
      </c>
      <c r="H57" s="144">
        <f ca="1">IF(PAJAK[[#This Row],[//]]="","",INDEX(INDIRECT("NOTA["&amp;PAJAK[#Headers]&amp;"]"),PAJAK[[#This Row],[//]]-2))</f>
        <v>44861</v>
      </c>
      <c r="I57" s="143" t="str">
        <f ca="1">IF(PAJAK[[#This Row],[//]]="","",INDEX(INDIRECT("NOTA["&amp;PAJAK[#Headers]&amp;"]"),PAJAK[[#This Row],[//]]-2))</f>
        <v>SA221017097</v>
      </c>
      <c r="J57" s="142" t="str">
        <f ca="1">IF(OR(PAJAK[[#This Row],[//]]="",INDEX(INDIRECT("NOTA["&amp;PAJAK[#Headers]&amp;"]"),PAJAK[[#This Row],[//]]-2)=""),"",INDEX(INDIRECT("NOTA["&amp;PAJAK[#Headers]&amp;"]"),PAJAK[[#This Row],[//]]-2))</f>
        <v/>
      </c>
      <c r="K57" s="145">
        <f ca="1">IF(PAJAK[[#This Row],[//]]="","",SUMIF(NOTA[ID_H],PAJAK[[#This Row],[ID]],NOTA[JUMLAH]))</f>
        <v>5428800</v>
      </c>
      <c r="L57" s="145">
        <f ca="1">IF(PAJAK[[#This Row],[//]]="","",SUMIF(NOTA[ID_H],PAJAK[[#This Row],[ID]],NOTA[DISC]))</f>
        <v>916110</v>
      </c>
      <c r="M57" s="145">
        <f ca="1">PAJAK[[#This Row],[SUB TOTAL]]-PAJAK[[#This Row],[DISKON]]</f>
        <v>4512690</v>
      </c>
      <c r="N57" s="145">
        <f ca="1">IF(PAJAK[[#This Row],[//]]="","",INDEX(INDIRECT("NOTA["&amp;PAJAK[#Headers]&amp;"]"),PAJAK[[#This Row],[//]]-2+PAJAK[[#This Row],[QB]]-1))</f>
        <v>0</v>
      </c>
      <c r="O57" s="145">
        <f ca="1">(PAJAK[[#This Row],[SUB T-DISC]]-PAJAK[[#This Row],[DISC DLL]])/111%</f>
        <v>4065486.4864864862</v>
      </c>
      <c r="P57" s="145">
        <f ca="1">PAJAK[[#This Row],[DPP]]*PAJAK[[#This Row],[PPN]]</f>
        <v>447203.51351351349</v>
      </c>
      <c r="Q57" s="145">
        <f ca="1">PAJAK[[#This Row],[DPP]]+PAJAK[[#This Row],[PPN 11%]]</f>
        <v>4512690</v>
      </c>
      <c r="R57" s="145" t="str">
        <f ca="1">IF(ISNUMBER(PAJAK[[#This Row],[//]]),PPN,"")</f>
        <v>11%</v>
      </c>
    </row>
    <row r="58" spans="1:18" s="146" customFormat="1" x14ac:dyDescent="0.25">
      <c r="A58" s="142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564</v>
      </c>
      <c r="B58" s="142">
        <f ca="1">HYPERLINK("[NOTA_.XLSX]NOTA!c"&amp;PAJAK[[#This Row],[//]],IF(PAJAK[[#This Row],[//]]="","",INDEX(INDIRECT("NOTA["&amp;PAJAK[#Headers]&amp;"]"),PAJAK[[#This Row],[//]]-2)))</f>
        <v>126</v>
      </c>
      <c r="C58" s="142" t="str">
        <f ca="1">IF(PAJAK[[#This Row],[//]]="","",INDEX(INDIRECT("NOTA["&amp;PAJAK[#Headers]&amp;"]"),PAJAK[[#This Row],[//]]-2))</f>
        <v>ATA_0211_209-5</v>
      </c>
      <c r="D58" s="142" t="e">
        <f ca="1">MATCH(PAJAK[[#This Row],[ID]],[2]!Table1[ID],0)</f>
        <v>#REF!</v>
      </c>
      <c r="E58" s="143">
        <f ca="1">IF(PAJAK[[#This Row],[ID]]="","",COUNTIF(NOTA[ID_H],PAJAK[[#This Row],[ID]]))</f>
        <v>5</v>
      </c>
      <c r="F58" s="142" t="str">
        <f ca="1">IF(PAJAK[[#This Row],[//]]="","",INDEX(CONV[2],MATCH(INDEX(INDIRECT("NOTA["&amp;PAJAK[#Headers]&amp;"]"),PAJAK[[#This Row],[//]]-2),CONV[1],0),0))</f>
        <v>PT ATALI MAKMUR</v>
      </c>
      <c r="G58" s="144">
        <f ca="1">IF(PAJAK[[#This Row],[//]]="","",INDEX(NOTA[TGL_H],PAJAK[[#This Row],[//]]-2))</f>
        <v>44867</v>
      </c>
      <c r="H58" s="144">
        <f ca="1">IF(PAJAK[[#This Row],[//]]="","",INDEX(INDIRECT("NOTA["&amp;PAJAK[#Headers]&amp;"]"),PAJAK[[#This Row],[//]]-2))</f>
        <v>44863</v>
      </c>
      <c r="I58" s="143" t="str">
        <f ca="1">IF(PAJAK[[#This Row],[//]]="","",INDEX(INDIRECT("NOTA["&amp;PAJAK[#Headers]&amp;"]"),PAJAK[[#This Row],[//]]-2))</f>
        <v>SA221017209</v>
      </c>
      <c r="J58" s="142" t="str">
        <f ca="1">IF(OR(PAJAK[[#This Row],[//]]="",INDEX(INDIRECT("NOTA["&amp;PAJAK[#Headers]&amp;"]"),PAJAK[[#This Row],[//]]-2)=""),"",INDEX(INDIRECT("NOTA["&amp;PAJAK[#Headers]&amp;"]"),PAJAK[[#This Row],[//]]-2))</f>
        <v/>
      </c>
      <c r="K58" s="145">
        <f ca="1">IF(PAJAK[[#This Row],[//]]="","",SUMIF(NOTA[ID_H],PAJAK[[#This Row],[ID]],NOTA[JUMLAH]))</f>
        <v>5328000</v>
      </c>
      <c r="L58" s="145">
        <f ca="1">IF(PAJAK[[#This Row],[//]]="","",SUMIF(NOTA[ID_H],PAJAK[[#This Row],[ID]],NOTA[DISC]))</f>
        <v>899100</v>
      </c>
      <c r="M58" s="145">
        <f ca="1">PAJAK[[#This Row],[SUB TOTAL]]-PAJAK[[#This Row],[DISKON]]</f>
        <v>4428900</v>
      </c>
      <c r="N58" s="145">
        <f ca="1">IF(PAJAK[[#This Row],[//]]="","",INDEX(INDIRECT("NOTA["&amp;PAJAK[#Headers]&amp;"]"),PAJAK[[#This Row],[//]]-2+PAJAK[[#This Row],[QB]]-1))</f>
        <v>0</v>
      </c>
      <c r="O58" s="145">
        <f ca="1">(PAJAK[[#This Row],[SUB T-DISC]]-PAJAK[[#This Row],[DISC DLL]])/111%</f>
        <v>3989999.9999999995</v>
      </c>
      <c r="P58" s="145">
        <f ca="1">PAJAK[[#This Row],[DPP]]*PAJAK[[#This Row],[PPN]]</f>
        <v>438899.99999999994</v>
      </c>
      <c r="Q58" s="145">
        <f ca="1">PAJAK[[#This Row],[DPP]]+PAJAK[[#This Row],[PPN 11%]]</f>
        <v>4428899.9999999991</v>
      </c>
      <c r="R58" s="145" t="str">
        <f ca="1">IF(ISNUMBER(PAJAK[[#This Row],[//]]),PPN,"")</f>
        <v>11%</v>
      </c>
    </row>
    <row r="59" spans="1:18" s="146" customFormat="1" x14ac:dyDescent="0.25">
      <c r="A59" s="142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570</v>
      </c>
      <c r="B59" s="175">
        <f ca="1">HYPERLINK("[NOTA_.XLSX]NOTA!c"&amp;PAJAK[[#This Row],[//]],IF(PAJAK[[#This Row],[//]]="","",INDEX(INDIRECT("NOTA["&amp;PAJAK[#Headers]&amp;"]"),PAJAK[[#This Row],[//]]-2)))</f>
        <v>127</v>
      </c>
      <c r="C59" s="142" t="str">
        <f ca="1">IF(PAJAK[[#This Row],[//]]="","",INDEX(INDIRECT("NOTA["&amp;PAJAK[#Headers]&amp;"]"),PAJAK[[#This Row],[//]]-2))</f>
        <v>KAL_0211_213-2</v>
      </c>
      <c r="D59" s="142" t="e">
        <f ca="1">MATCH(PAJAK[[#This Row],[ID]],[2]!Table1[ID],0)</f>
        <v>#REF!</v>
      </c>
      <c r="E59" s="143">
        <f ca="1">IF(PAJAK[[#This Row],[ID]]="","",COUNTIF(NOTA[ID_H],PAJAK[[#This Row],[ID]]))</f>
        <v>2</v>
      </c>
      <c r="F59" s="142" t="str">
        <f ca="1">IF(PAJAK[[#This Row],[//]]="","",INDEX(CONV[2],MATCH(INDEX(INDIRECT("NOTA["&amp;PAJAK[#Headers]&amp;"]"),PAJAK[[#This Row],[//]]-2),CONV[1],0),0))</f>
        <v>PT KALINDO SUKSES</v>
      </c>
      <c r="G59" s="144">
        <f ca="1">IF(PAJAK[[#This Row],[//]]="","",INDEX(NOTA[TGL_H],PAJAK[[#This Row],[//]]-2))</f>
        <v>44867</v>
      </c>
      <c r="H59" s="144">
        <f ca="1">IF(PAJAK[[#This Row],[//]]="","",INDEX(INDIRECT("NOTA["&amp;PAJAK[#Headers]&amp;"]"),PAJAK[[#This Row],[//]]-2))</f>
        <v>44863</v>
      </c>
      <c r="I59" s="143" t="str">
        <f ca="1">IF(PAJAK[[#This Row],[//]]="","",INDEX(INDIRECT("NOTA["&amp;PAJAK[#Headers]&amp;"]"),PAJAK[[#This Row],[//]]-2))</f>
        <v>SN22102213</v>
      </c>
      <c r="J59" s="142" t="str">
        <f ca="1">IF(OR(PAJAK[[#This Row],[//]]="",INDEX(INDIRECT("NOTA["&amp;PAJAK[#Headers]&amp;"]"),PAJAK[[#This Row],[//]]-2)=""),"",INDEX(INDIRECT("NOTA["&amp;PAJAK[#Headers]&amp;"]"),PAJAK[[#This Row],[//]]-2))</f>
        <v/>
      </c>
      <c r="K59" s="145">
        <f ca="1">IF(PAJAK[[#This Row],[//]]="","",SUMIF(NOTA[ID_H],PAJAK[[#This Row],[ID]],NOTA[JUMLAH]))</f>
        <v>9360000</v>
      </c>
      <c r="L59" s="145">
        <f ca="1">IF(PAJAK[[#This Row],[//]]="","",SUMIF(NOTA[ID_H],PAJAK[[#This Row],[ID]],NOTA[DISC]))</f>
        <v>1579500</v>
      </c>
      <c r="M59" s="145">
        <f ca="1">PAJAK[[#This Row],[SUB TOTAL]]-PAJAK[[#This Row],[DISKON]]</f>
        <v>7780500</v>
      </c>
      <c r="N59" s="145">
        <f ca="1">IF(PAJAK[[#This Row],[//]]="","",INDEX(INDIRECT("NOTA["&amp;PAJAK[#Headers]&amp;"]"),PAJAK[[#This Row],[//]]-2+PAJAK[[#This Row],[QB]]-1))</f>
        <v>0</v>
      </c>
      <c r="O59" s="145">
        <f ca="1">(PAJAK[[#This Row],[SUB T-DISC]]-PAJAK[[#This Row],[DISC DLL]])/111%</f>
        <v>7009459.4594594585</v>
      </c>
      <c r="P59" s="145">
        <f ca="1">PAJAK[[#This Row],[DPP]]*PAJAK[[#This Row],[PPN]]</f>
        <v>771040.54054054047</v>
      </c>
      <c r="Q59" s="145">
        <f ca="1">PAJAK[[#This Row],[DPP]]+PAJAK[[#This Row],[PPN 11%]]</f>
        <v>7780499.9999999991</v>
      </c>
      <c r="R59" s="145" t="str">
        <f ca="1">IF(ISNUMBER(PAJAK[[#This Row],[//]]),PPN,"")</f>
        <v>11%</v>
      </c>
    </row>
    <row r="60" spans="1:18" s="146" customFormat="1" x14ac:dyDescent="0.25">
      <c r="A60" s="14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573</v>
      </c>
      <c r="B60" s="173">
        <f ca="1">HYPERLINK("[NOTA_.XLSX]NOTA!c"&amp;PAJAK[[#This Row],[//]],IF(PAJAK[[#This Row],[//]]="","",INDEX(INDIRECT("NOTA["&amp;PAJAK[#Headers]&amp;"]"),PAJAK[[#This Row],[//]]-2)))</f>
        <v>128</v>
      </c>
      <c r="C60" s="146" t="str">
        <f ca="1">IF(PAJAK[[#This Row],[//]]="","",INDEX(INDIRECT("NOTA["&amp;PAJAK[#Headers]&amp;"]"),PAJAK[[#This Row],[//]]-2))</f>
        <v>ATA_0211_244-2</v>
      </c>
      <c r="D60" s="146" t="e">
        <f ca="1">MATCH(PAJAK[[#This Row],[ID]],[2]!Table1[ID],0)</f>
        <v>#REF!</v>
      </c>
      <c r="E60" s="174">
        <f ca="1">IF(PAJAK[[#This Row],[ID]]="","",COUNTIF(NOTA[ID_H],PAJAK[[#This Row],[ID]]))</f>
        <v>2</v>
      </c>
      <c r="F60" s="142" t="str">
        <f ca="1">IF(PAJAK[[#This Row],[//]]="","",INDEX(CONV[2],MATCH(INDEX(INDIRECT("NOTA["&amp;PAJAK[#Headers]&amp;"]"),PAJAK[[#This Row],[//]]-2),CONV[1],0),0))</f>
        <v>PT ATALI MAKMUR</v>
      </c>
      <c r="G60" s="144">
        <f ca="1">IF(PAJAK[[#This Row],[//]]="","",INDEX(NOTA[TGL_H],PAJAK[[#This Row],[//]]-2))</f>
        <v>44867</v>
      </c>
      <c r="H60" s="144">
        <f ca="1">IF(PAJAK[[#This Row],[//]]="","",INDEX(INDIRECT("NOTA["&amp;PAJAK[#Headers]&amp;"]"),PAJAK[[#This Row],[//]]-2))</f>
        <v>44865</v>
      </c>
      <c r="I60" s="143" t="str">
        <f ca="1">IF(PAJAK[[#This Row],[//]]="","",INDEX(INDIRECT("NOTA["&amp;PAJAK[#Headers]&amp;"]"),PAJAK[[#This Row],[//]]-2))</f>
        <v>SA221017244</v>
      </c>
      <c r="J60" s="142" t="str">
        <f ca="1">IF(OR(PAJAK[[#This Row],[//]]="",INDEX(INDIRECT("NOTA["&amp;PAJAK[#Headers]&amp;"]"),PAJAK[[#This Row],[//]]-2)=""),"",INDEX(INDIRECT("NOTA["&amp;PAJAK[#Headers]&amp;"]"),PAJAK[[#This Row],[//]]-2))</f>
        <v/>
      </c>
      <c r="K60" s="145">
        <f ca="1">IF(PAJAK[[#This Row],[//]]="","",SUMIF(NOTA[ID_H],PAJAK[[#This Row],[ID]],NOTA[JUMLAH]))</f>
        <v>15264000</v>
      </c>
      <c r="L60" s="145">
        <f ca="1">IF(PAJAK[[#This Row],[//]]="","",SUMIF(NOTA[ID_H],PAJAK[[#This Row],[ID]],NOTA[DISC]))</f>
        <v>2575800</v>
      </c>
      <c r="M60" s="145">
        <f ca="1">PAJAK[[#This Row],[SUB TOTAL]]-PAJAK[[#This Row],[DISKON]]</f>
        <v>12688200</v>
      </c>
      <c r="N60" s="145">
        <f ca="1">IF(PAJAK[[#This Row],[//]]="","",INDEX(INDIRECT("NOTA["&amp;PAJAK[#Headers]&amp;"]"),PAJAK[[#This Row],[//]]-2+PAJAK[[#This Row],[QB]]-1))</f>
        <v>0</v>
      </c>
      <c r="O60" s="145">
        <f ca="1">(PAJAK[[#This Row],[SUB T-DISC]]-PAJAK[[#This Row],[DISC DLL]])/111%</f>
        <v>11430810.81081081</v>
      </c>
      <c r="P60" s="145">
        <f ca="1">PAJAK[[#This Row],[DPP]]*PAJAK[[#This Row],[PPN]]</f>
        <v>1257389.1891891891</v>
      </c>
      <c r="Q60" s="145">
        <f ca="1">PAJAK[[#This Row],[DPP]]+PAJAK[[#This Row],[PPN 11%]]</f>
        <v>12688200</v>
      </c>
      <c r="R60" s="145" t="str">
        <f ca="1">IF(ISNUMBER(PAJAK[[#This Row],[//]]),PPN,"")</f>
        <v>11%</v>
      </c>
    </row>
    <row r="61" spans="1:18" s="146" customFormat="1" x14ac:dyDescent="0.25">
      <c r="A61" s="142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75" t="str">
        <f ca="1">HYPERLINK("[NOTA_.XLSX]NOTA!c"&amp;PAJAK[[#This Row],[//]],IF(PAJAK[[#This Row],[//]]="","",INDEX(INDIRECT("NOTA["&amp;PAJAK[#Headers]&amp;"]"),PAJAK[[#This Row],[//]]-2)))</f>
        <v/>
      </c>
      <c r="C61" s="142" t="str">
        <f ca="1">IF(PAJAK[[#This Row],[//]]="","",INDEX(INDIRECT("NOTA["&amp;PAJAK[#Headers]&amp;"]"),PAJAK[[#This Row],[//]]-2))</f>
        <v/>
      </c>
      <c r="D61" s="142" t="e">
        <f ca="1">MATCH(PAJAK[[#This Row],[ID]],[2]!Table1[ID],0)</f>
        <v>#REF!</v>
      </c>
      <c r="E61" s="143" t="str">
        <f ca="1">IF(PAJAK[[#This Row],[ID]]="","",COUNTIF(NOTA[ID_H],PAJAK[[#This Row],[ID]]))</f>
        <v/>
      </c>
      <c r="F61" s="142" t="str">
        <f ca="1">IF(PAJAK[[#This Row],[//]]="","",INDEX(CONV[2],MATCH(INDEX(INDIRECT("NOTA["&amp;PAJAK[#Headers]&amp;"]"),PAJAK[[#This Row],[//]]-2),CONV[1],0),0))</f>
        <v/>
      </c>
      <c r="G61" s="144" t="str">
        <f ca="1">IF(PAJAK[[#This Row],[//]]="","",INDEX(NOTA[TGL_H],PAJAK[[#This Row],[//]]-2))</f>
        <v/>
      </c>
      <c r="H61" s="144" t="str">
        <f ca="1">IF(PAJAK[[#This Row],[//]]="","",INDEX(INDIRECT("NOTA["&amp;PAJAK[#Headers]&amp;"]"),PAJAK[[#This Row],[//]]-2))</f>
        <v/>
      </c>
      <c r="I61" s="143" t="str">
        <f ca="1">IF(PAJAK[[#This Row],[//]]="","",INDEX(INDIRECT("NOTA["&amp;PAJAK[#Headers]&amp;"]"),PAJAK[[#This Row],[//]]-2))</f>
        <v/>
      </c>
      <c r="J61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45" t="str">
        <f ca="1">IF(PAJAK[[#This Row],[//]]="","",SUMIF(NOTA[ID_H],PAJAK[[#This Row],[ID]],NOTA[JUMLAH]))</f>
        <v/>
      </c>
      <c r="L61" s="145" t="str">
        <f ca="1">IF(PAJAK[[#This Row],[//]]="","",SUMIF(NOTA[ID_H],PAJAK[[#This Row],[ID]],NOTA[DISC]))</f>
        <v/>
      </c>
      <c r="M61" s="145" t="e">
        <f ca="1">PAJAK[[#This Row],[SUB TOTAL]]-PAJAK[[#This Row],[DISKON]]</f>
        <v>#VALUE!</v>
      </c>
      <c r="N61" s="145" t="str">
        <f ca="1">IF(PAJAK[[#This Row],[//]]="","",INDEX(INDIRECT("NOTA["&amp;PAJAK[#Headers]&amp;"]"),PAJAK[[#This Row],[//]]-2+PAJAK[[#This Row],[QB]]-1))</f>
        <v/>
      </c>
      <c r="O61" s="145" t="e">
        <f ca="1">(PAJAK[[#This Row],[SUB T-DISC]]-PAJAK[[#This Row],[DISC DLL]])/111%</f>
        <v>#VALUE!</v>
      </c>
      <c r="P61" s="145" t="e">
        <f ca="1">PAJAK[[#This Row],[DPP]]*PAJAK[[#This Row],[PPN]]</f>
        <v>#VALUE!</v>
      </c>
      <c r="Q61" s="145" t="e">
        <f ca="1">PAJAK[[#This Row],[DPP]]+PAJAK[[#This Row],[PPN 11%]]</f>
        <v>#VALUE!</v>
      </c>
      <c r="R61" s="145" t="str">
        <f ca="1">IF(ISNUMBER(PAJAK[[#This Row],[//]]),PPN,"")</f>
        <v/>
      </c>
    </row>
    <row r="62" spans="1:18" s="146" customFormat="1" x14ac:dyDescent="0.25">
      <c r="A62" s="146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73" t="str">
        <f ca="1">HYPERLINK("[NOTA_.XLSX]NOTA!c"&amp;PAJAK[[#This Row],[//]],IF(PAJAK[[#This Row],[//]]="","",INDEX(INDIRECT("NOTA["&amp;PAJAK[#Headers]&amp;"]"),PAJAK[[#This Row],[//]]-2)))</f>
        <v/>
      </c>
      <c r="C62" s="146" t="str">
        <f ca="1">IF(PAJAK[[#This Row],[//]]="","",INDEX(INDIRECT("NOTA["&amp;PAJAK[#Headers]&amp;"]"),PAJAK[[#This Row],[//]]-2))</f>
        <v/>
      </c>
      <c r="D62" s="146" t="e">
        <f ca="1">MATCH(PAJAK[[#This Row],[ID]],[2]!Table1[ID],0)</f>
        <v>#REF!</v>
      </c>
      <c r="E62" s="174" t="str">
        <f ca="1">IF(PAJAK[[#This Row],[ID]]="","",COUNTIF(NOTA[ID_H],PAJAK[[#This Row],[ID]]))</f>
        <v/>
      </c>
      <c r="F62" s="142" t="str">
        <f ca="1">IF(PAJAK[[#This Row],[//]]="","",INDEX(CONV[2],MATCH(INDEX(INDIRECT("NOTA["&amp;PAJAK[#Headers]&amp;"]"),PAJAK[[#This Row],[//]]-2),CONV[1],0),0))</f>
        <v/>
      </c>
      <c r="G62" s="144" t="str">
        <f ca="1">IF(PAJAK[[#This Row],[//]]="","",INDEX(NOTA[TGL_H],PAJAK[[#This Row],[//]]-2))</f>
        <v/>
      </c>
      <c r="H62" s="144" t="str">
        <f ca="1">IF(PAJAK[[#This Row],[//]]="","",INDEX(INDIRECT("NOTA["&amp;PAJAK[#Headers]&amp;"]"),PAJAK[[#This Row],[//]]-2))</f>
        <v/>
      </c>
      <c r="I62" s="143" t="str">
        <f ca="1">IF(PAJAK[[#This Row],[//]]="","",INDEX(INDIRECT("NOTA["&amp;PAJAK[#Headers]&amp;"]"),PAJAK[[#This Row],[//]]-2))</f>
        <v/>
      </c>
      <c r="J62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45" t="str">
        <f ca="1">IF(PAJAK[[#This Row],[//]]="","",SUMIF(NOTA[ID_H],PAJAK[[#This Row],[ID]],NOTA[JUMLAH]))</f>
        <v/>
      </c>
      <c r="L62" s="145" t="str">
        <f ca="1">IF(PAJAK[[#This Row],[//]]="","",SUMIF(NOTA[ID_H],PAJAK[[#This Row],[ID]],NOTA[DISC]))</f>
        <v/>
      </c>
      <c r="M62" s="145" t="e">
        <f ca="1">PAJAK[[#This Row],[SUB TOTAL]]-PAJAK[[#This Row],[DISKON]]</f>
        <v>#VALUE!</v>
      </c>
      <c r="N62" s="145" t="str">
        <f ca="1">IF(PAJAK[[#This Row],[//]]="","",INDEX(INDIRECT("NOTA["&amp;PAJAK[#Headers]&amp;"]"),PAJAK[[#This Row],[//]]-2+PAJAK[[#This Row],[QB]]-1))</f>
        <v/>
      </c>
      <c r="O62" s="145" t="e">
        <f ca="1">(PAJAK[[#This Row],[SUB T-DISC]]-PAJAK[[#This Row],[DISC DLL]])/111%</f>
        <v>#VALUE!</v>
      </c>
      <c r="P62" s="145" t="e">
        <f ca="1">PAJAK[[#This Row],[DPP]]*PAJAK[[#This Row],[PPN]]</f>
        <v>#VALUE!</v>
      </c>
      <c r="Q62" s="145" t="e">
        <f ca="1">PAJAK[[#This Row],[DPP]]+PAJAK[[#This Row],[PPN 11%]]</f>
        <v>#VALUE!</v>
      </c>
      <c r="R62" s="145" t="str">
        <f ca="1">IF(ISNUMBER(PAJAK[[#This Row],[//]]),PPN,"")</f>
        <v/>
      </c>
    </row>
    <row r="63" spans="1:18" s="146" customFormat="1" x14ac:dyDescent="0.25">
      <c r="A63" s="142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75" t="str">
        <f ca="1">HYPERLINK("[NOTA_.XLSX]NOTA!c"&amp;PAJAK[[#This Row],[//]],IF(PAJAK[[#This Row],[//]]="","",INDEX(INDIRECT("NOTA["&amp;PAJAK[#Headers]&amp;"]"),PAJAK[[#This Row],[//]]-2)))</f>
        <v/>
      </c>
      <c r="C63" s="142" t="str">
        <f ca="1">IF(PAJAK[[#This Row],[//]]="","",INDEX(INDIRECT("NOTA["&amp;PAJAK[#Headers]&amp;"]"),PAJAK[[#This Row],[//]]-2))</f>
        <v/>
      </c>
      <c r="D63" s="142" t="e">
        <f ca="1">MATCH(PAJAK[[#This Row],[ID]],[2]!Table1[ID],0)</f>
        <v>#REF!</v>
      </c>
      <c r="E63" s="143" t="str">
        <f ca="1">IF(PAJAK[[#This Row],[ID]]="","",COUNTIF(NOTA[ID_H],PAJAK[[#This Row],[ID]]))</f>
        <v/>
      </c>
      <c r="F63" s="142" t="str">
        <f ca="1">IF(PAJAK[[#This Row],[//]]="","",INDEX(CONV[2],MATCH(INDEX(INDIRECT("NOTA["&amp;PAJAK[#Headers]&amp;"]"),PAJAK[[#This Row],[//]]-2),CONV[1],0),0))</f>
        <v/>
      </c>
      <c r="G63" s="144" t="str">
        <f ca="1">IF(PAJAK[[#This Row],[//]]="","",INDEX(NOTA[TGL_H],PAJAK[[#This Row],[//]]-2))</f>
        <v/>
      </c>
      <c r="H63" s="144" t="str">
        <f ca="1">IF(PAJAK[[#This Row],[//]]="","",INDEX(INDIRECT("NOTA["&amp;PAJAK[#Headers]&amp;"]"),PAJAK[[#This Row],[//]]-2))</f>
        <v/>
      </c>
      <c r="I63" s="143" t="str">
        <f ca="1">IF(PAJAK[[#This Row],[//]]="","",INDEX(INDIRECT("NOTA["&amp;PAJAK[#Headers]&amp;"]"),PAJAK[[#This Row],[//]]-2))</f>
        <v/>
      </c>
      <c r="J63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45" t="str">
        <f ca="1">IF(PAJAK[[#This Row],[//]]="","",SUMIF(NOTA[ID_H],PAJAK[[#This Row],[ID]],NOTA[JUMLAH]))</f>
        <v/>
      </c>
      <c r="L63" s="145" t="str">
        <f ca="1">IF(PAJAK[[#This Row],[//]]="","",SUMIF(NOTA[ID_H],PAJAK[[#This Row],[ID]],NOTA[DISC]))</f>
        <v/>
      </c>
      <c r="M63" s="145" t="e">
        <f ca="1">PAJAK[[#This Row],[SUB TOTAL]]-PAJAK[[#This Row],[DISKON]]</f>
        <v>#VALUE!</v>
      </c>
      <c r="N63" s="145" t="str">
        <f ca="1">IF(PAJAK[[#This Row],[//]]="","",INDEX(INDIRECT("NOTA["&amp;PAJAK[#Headers]&amp;"]"),PAJAK[[#This Row],[//]]-2+PAJAK[[#This Row],[QB]]-1))</f>
        <v/>
      </c>
      <c r="O63" s="145" t="e">
        <f ca="1">(PAJAK[[#This Row],[SUB T-DISC]]-PAJAK[[#This Row],[DISC DLL]])/111%</f>
        <v>#VALUE!</v>
      </c>
      <c r="P63" s="145" t="e">
        <f ca="1">PAJAK[[#This Row],[DPP]]*PAJAK[[#This Row],[PPN]]</f>
        <v>#VALUE!</v>
      </c>
      <c r="Q63" s="145" t="e">
        <f ca="1">PAJAK[[#This Row],[DPP]]+PAJAK[[#This Row],[PPN 11%]]</f>
        <v>#VALUE!</v>
      </c>
      <c r="R63" s="145" t="str">
        <f ca="1">IF(ISNUMBER(PAJAK[[#This Row],[//]]),PPN,"")</f>
        <v/>
      </c>
    </row>
    <row r="64" spans="1:18" s="146" customFormat="1" x14ac:dyDescent="0.25">
      <c r="A64" s="146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73" t="str">
        <f ca="1">HYPERLINK("[NOTA_.XLSX]NOTA!c"&amp;PAJAK[[#This Row],[//]],IF(PAJAK[[#This Row],[//]]="","",INDEX(INDIRECT("NOTA["&amp;PAJAK[#Headers]&amp;"]"),PAJAK[[#This Row],[//]]-2)))</f>
        <v/>
      </c>
      <c r="C64" s="146" t="str">
        <f ca="1">IF(PAJAK[[#This Row],[//]]="","",INDEX(INDIRECT("NOTA["&amp;PAJAK[#Headers]&amp;"]"),PAJAK[[#This Row],[//]]-2))</f>
        <v/>
      </c>
      <c r="D64" s="146" t="e">
        <f ca="1">MATCH(PAJAK[[#This Row],[ID]],[2]!Table1[ID],0)</f>
        <v>#REF!</v>
      </c>
      <c r="E64" s="174" t="str">
        <f ca="1">IF(PAJAK[[#This Row],[ID]]="","",COUNTIF(NOTA[ID_H],PAJAK[[#This Row],[ID]]))</f>
        <v/>
      </c>
      <c r="F64" s="142" t="str">
        <f ca="1">IF(PAJAK[[#This Row],[//]]="","",INDEX(CONV[2],MATCH(INDEX(INDIRECT("NOTA["&amp;PAJAK[#Headers]&amp;"]"),PAJAK[[#This Row],[//]]-2),CONV[1],0),0))</f>
        <v/>
      </c>
      <c r="G64" s="144" t="str">
        <f ca="1">IF(PAJAK[[#This Row],[//]]="","",INDEX(NOTA[TGL_H],PAJAK[[#This Row],[//]]-2))</f>
        <v/>
      </c>
      <c r="H64" s="144" t="str">
        <f ca="1">IF(PAJAK[[#This Row],[//]]="","",INDEX(INDIRECT("NOTA["&amp;PAJAK[#Headers]&amp;"]"),PAJAK[[#This Row],[//]]-2))</f>
        <v/>
      </c>
      <c r="I64" s="143" t="str">
        <f ca="1">IF(PAJAK[[#This Row],[//]]="","",INDEX(INDIRECT("NOTA["&amp;PAJAK[#Headers]&amp;"]"),PAJAK[[#This Row],[//]]-2))</f>
        <v/>
      </c>
      <c r="J64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45" t="str">
        <f ca="1">IF(PAJAK[[#This Row],[//]]="","",SUMIF(NOTA[ID_H],PAJAK[[#This Row],[ID]],NOTA[JUMLAH]))</f>
        <v/>
      </c>
      <c r="L64" s="145" t="str">
        <f ca="1">IF(PAJAK[[#This Row],[//]]="","",SUMIF(NOTA[ID_H],PAJAK[[#This Row],[ID]],NOTA[DISC]))</f>
        <v/>
      </c>
      <c r="M64" s="145" t="e">
        <f ca="1">PAJAK[[#This Row],[SUB TOTAL]]-PAJAK[[#This Row],[DISKON]]</f>
        <v>#VALUE!</v>
      </c>
      <c r="N64" s="145" t="str">
        <f ca="1">IF(PAJAK[[#This Row],[//]]="","",INDEX(INDIRECT("NOTA["&amp;PAJAK[#Headers]&amp;"]"),PAJAK[[#This Row],[//]]-2+PAJAK[[#This Row],[QB]]-1))</f>
        <v/>
      </c>
      <c r="O64" s="145" t="e">
        <f ca="1">(PAJAK[[#This Row],[SUB T-DISC]]-PAJAK[[#This Row],[DISC DLL]])/111%</f>
        <v>#VALUE!</v>
      </c>
      <c r="P64" s="145" t="e">
        <f ca="1">PAJAK[[#This Row],[DPP]]*PAJAK[[#This Row],[PPN]]</f>
        <v>#VALUE!</v>
      </c>
      <c r="Q64" s="145" t="e">
        <f ca="1">PAJAK[[#This Row],[DPP]]+PAJAK[[#This Row],[PPN 11%]]</f>
        <v>#VALUE!</v>
      </c>
      <c r="R64" s="145" t="str">
        <f ca="1">IF(ISNUMBER(PAJAK[[#This Row],[//]]),PPN,"")</f>
        <v/>
      </c>
    </row>
    <row r="65" spans="1:18" s="146" customFormat="1" x14ac:dyDescent="0.25">
      <c r="A65" s="146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73" t="str">
        <f ca="1">HYPERLINK("[NOTA_.XLSX]NOTA!c"&amp;PAJAK[[#This Row],[//]],IF(PAJAK[[#This Row],[//]]="","",INDEX(INDIRECT("NOTA["&amp;PAJAK[#Headers]&amp;"]"),PAJAK[[#This Row],[//]]-2)))</f>
        <v/>
      </c>
      <c r="C65" s="146" t="str">
        <f ca="1">IF(PAJAK[[#This Row],[//]]="","",INDEX(INDIRECT("NOTA["&amp;PAJAK[#Headers]&amp;"]"),PAJAK[[#This Row],[//]]-2))</f>
        <v/>
      </c>
      <c r="D65" s="146" t="e">
        <f ca="1">MATCH(PAJAK[[#This Row],[ID]],[2]!Table1[ID],0)</f>
        <v>#REF!</v>
      </c>
      <c r="E65" s="174" t="str">
        <f ca="1">IF(PAJAK[[#This Row],[ID]]="","",COUNTIF(NOTA[ID_H],PAJAK[[#This Row],[ID]]))</f>
        <v/>
      </c>
      <c r="F65" s="142" t="str">
        <f ca="1">IF(PAJAK[[#This Row],[//]]="","",INDEX(CONV[2],MATCH(INDEX(INDIRECT("NOTA["&amp;PAJAK[#Headers]&amp;"]"),PAJAK[[#This Row],[//]]-2),CONV[1],0),0))</f>
        <v/>
      </c>
      <c r="G65" s="144" t="str">
        <f ca="1">IF(PAJAK[[#This Row],[//]]="","",INDEX(NOTA[TGL_H],PAJAK[[#This Row],[//]]-2))</f>
        <v/>
      </c>
      <c r="H65" s="144" t="str">
        <f ca="1">IF(PAJAK[[#This Row],[//]]="","",INDEX(INDIRECT("NOTA["&amp;PAJAK[#Headers]&amp;"]"),PAJAK[[#This Row],[//]]-2))</f>
        <v/>
      </c>
      <c r="I65" s="143" t="str">
        <f ca="1">IF(PAJAK[[#This Row],[//]]="","",INDEX(INDIRECT("NOTA["&amp;PAJAK[#Headers]&amp;"]"),PAJAK[[#This Row],[//]]-2))</f>
        <v/>
      </c>
      <c r="J65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45" t="str">
        <f ca="1">IF(PAJAK[[#This Row],[//]]="","",SUMIF(NOTA[ID_H],PAJAK[[#This Row],[ID]],NOTA[JUMLAH]))</f>
        <v/>
      </c>
      <c r="L65" s="145" t="str">
        <f ca="1">IF(PAJAK[[#This Row],[//]]="","",SUMIF(NOTA[ID_H],PAJAK[[#This Row],[ID]],NOTA[DISC]))</f>
        <v/>
      </c>
      <c r="M65" s="145" t="e">
        <f ca="1">PAJAK[[#This Row],[SUB TOTAL]]-PAJAK[[#This Row],[DISKON]]</f>
        <v>#VALUE!</v>
      </c>
      <c r="N65" s="145" t="str">
        <f ca="1">IF(PAJAK[[#This Row],[//]]="","",INDEX(INDIRECT("NOTA["&amp;PAJAK[#Headers]&amp;"]"),PAJAK[[#This Row],[//]]-2+PAJAK[[#This Row],[QB]]-1))</f>
        <v/>
      </c>
      <c r="O65" s="145" t="e">
        <f ca="1">(PAJAK[[#This Row],[SUB T-DISC]]-PAJAK[[#This Row],[DISC DLL]])/111%</f>
        <v>#VALUE!</v>
      </c>
      <c r="P65" s="145" t="e">
        <f ca="1">PAJAK[[#This Row],[DPP]]*PAJAK[[#This Row],[PPN]]</f>
        <v>#VALUE!</v>
      </c>
      <c r="Q65" s="145" t="e">
        <f ca="1">PAJAK[[#This Row],[DPP]]+PAJAK[[#This Row],[PPN 11%]]</f>
        <v>#VALUE!</v>
      </c>
      <c r="R65" s="145" t="str">
        <f ca="1">IF(ISNUMBER(PAJAK[[#This Row],[//]]),PPN,"")</f>
        <v/>
      </c>
    </row>
    <row r="66" spans="1:18" s="146" customFormat="1" x14ac:dyDescent="0.25">
      <c r="A66" s="146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73" t="str">
        <f ca="1">HYPERLINK("[NOTA_.XLSX]NOTA!c"&amp;PAJAK[[#This Row],[//]],IF(PAJAK[[#This Row],[//]]="","",INDEX(INDIRECT("NOTA["&amp;PAJAK[#Headers]&amp;"]"),PAJAK[[#This Row],[//]]-2)))</f>
        <v/>
      </c>
      <c r="C66" s="146" t="str">
        <f ca="1">IF(PAJAK[[#This Row],[//]]="","",INDEX(INDIRECT("NOTA["&amp;PAJAK[#Headers]&amp;"]"),PAJAK[[#This Row],[//]]-2))</f>
        <v/>
      </c>
      <c r="D66" s="146" t="e">
        <f ca="1">MATCH(PAJAK[[#This Row],[ID]],[2]!Table1[ID],0)</f>
        <v>#REF!</v>
      </c>
      <c r="E66" s="174" t="str">
        <f ca="1">IF(PAJAK[[#This Row],[ID]]="","",COUNTIF(NOTA[ID_H],PAJAK[[#This Row],[ID]]))</f>
        <v/>
      </c>
      <c r="F66" s="142" t="str">
        <f ca="1">IF(PAJAK[[#This Row],[//]]="","",INDEX(CONV[2],MATCH(INDEX(INDIRECT("NOTA["&amp;PAJAK[#Headers]&amp;"]"),PAJAK[[#This Row],[//]]-2),CONV[1],0),0))</f>
        <v/>
      </c>
      <c r="G66" s="144" t="str">
        <f ca="1">IF(PAJAK[[#This Row],[//]]="","",INDEX(NOTA[TGL_H],PAJAK[[#This Row],[//]]-2))</f>
        <v/>
      </c>
      <c r="H66" s="144" t="str">
        <f ca="1">IF(PAJAK[[#This Row],[//]]="","",INDEX(INDIRECT("NOTA["&amp;PAJAK[#Headers]&amp;"]"),PAJAK[[#This Row],[//]]-2))</f>
        <v/>
      </c>
      <c r="I66" s="143" t="str">
        <f ca="1">IF(PAJAK[[#This Row],[//]]="","",INDEX(INDIRECT("NOTA["&amp;PAJAK[#Headers]&amp;"]"),PAJAK[[#This Row],[//]]-2))</f>
        <v/>
      </c>
      <c r="J66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45" t="str">
        <f ca="1">IF(PAJAK[[#This Row],[//]]="","",SUMIF(NOTA[ID_H],PAJAK[[#This Row],[ID]],NOTA[JUMLAH]))</f>
        <v/>
      </c>
      <c r="L66" s="145" t="str">
        <f ca="1">IF(PAJAK[[#This Row],[//]]="","",SUMIF(NOTA[ID_H],PAJAK[[#This Row],[ID]],NOTA[DISC]))</f>
        <v/>
      </c>
      <c r="M66" s="145" t="e">
        <f ca="1">PAJAK[[#This Row],[SUB TOTAL]]-PAJAK[[#This Row],[DISKON]]</f>
        <v>#VALUE!</v>
      </c>
      <c r="N66" s="145" t="str">
        <f ca="1">IF(PAJAK[[#This Row],[//]]="","",INDEX(INDIRECT("NOTA["&amp;PAJAK[#Headers]&amp;"]"),PAJAK[[#This Row],[//]]-2+PAJAK[[#This Row],[QB]]-1))</f>
        <v/>
      </c>
      <c r="O66" s="145" t="e">
        <f ca="1">(PAJAK[[#This Row],[SUB T-DISC]]-PAJAK[[#This Row],[DISC DLL]])/111%</f>
        <v>#VALUE!</v>
      </c>
      <c r="P66" s="145" t="e">
        <f ca="1">PAJAK[[#This Row],[DPP]]*PAJAK[[#This Row],[PPN]]</f>
        <v>#VALUE!</v>
      </c>
      <c r="Q66" s="145" t="e">
        <f ca="1">PAJAK[[#This Row],[DPP]]+PAJAK[[#This Row],[PPN 11%]]</f>
        <v>#VALUE!</v>
      </c>
      <c r="R66" s="145" t="str">
        <f ca="1">IF(ISNUMBER(PAJAK[[#This Row],[//]]),PPN,"")</f>
        <v/>
      </c>
    </row>
    <row r="67" spans="1:18" s="146" customFormat="1" x14ac:dyDescent="0.25">
      <c r="A67" s="146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3" t="str">
        <f ca="1">HYPERLINK("[NOTA_.XLSX]NOTA!c"&amp;PAJAK[[#This Row],[//]],IF(PAJAK[[#This Row],[//]]="","",INDEX(INDIRECT("NOTA["&amp;PAJAK[#Headers]&amp;"]"),PAJAK[[#This Row],[//]]-2)))</f>
        <v/>
      </c>
      <c r="C67" s="146" t="str">
        <f ca="1">IF(PAJAK[[#This Row],[//]]="","",INDEX(INDIRECT("NOTA["&amp;PAJAK[#Headers]&amp;"]"),PAJAK[[#This Row],[//]]-2))</f>
        <v/>
      </c>
      <c r="D67" s="146" t="e">
        <f ca="1">MATCH(PAJAK[[#This Row],[ID]],[2]!Table1[ID],0)</f>
        <v>#REF!</v>
      </c>
      <c r="E67" s="174" t="str">
        <f ca="1">IF(PAJAK[[#This Row],[ID]]="","",COUNTIF(NOTA[ID_H],PAJAK[[#This Row],[ID]]))</f>
        <v/>
      </c>
      <c r="F67" s="142" t="str">
        <f ca="1">IF(PAJAK[[#This Row],[//]]="","",INDEX(CONV[2],MATCH(INDEX(INDIRECT("NOTA["&amp;PAJAK[#Headers]&amp;"]"),PAJAK[[#This Row],[//]]-2),CONV[1],0),0))</f>
        <v/>
      </c>
      <c r="G67" s="144" t="str">
        <f ca="1">IF(PAJAK[[#This Row],[//]]="","",INDEX(NOTA[TGL_H],PAJAK[[#This Row],[//]]-2))</f>
        <v/>
      </c>
      <c r="H67" s="144" t="str">
        <f ca="1">IF(PAJAK[[#This Row],[//]]="","",INDEX(INDIRECT("NOTA["&amp;PAJAK[#Headers]&amp;"]"),PAJAK[[#This Row],[//]]-2))</f>
        <v/>
      </c>
      <c r="I67" s="143" t="str">
        <f ca="1">IF(PAJAK[[#This Row],[//]]="","",INDEX(INDIRECT("NOTA["&amp;PAJAK[#Headers]&amp;"]"),PAJAK[[#This Row],[//]]-2))</f>
        <v/>
      </c>
      <c r="J67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5" t="str">
        <f ca="1">IF(PAJAK[[#This Row],[//]]="","",SUMIF(NOTA[ID_H],PAJAK[[#This Row],[ID]],NOTA[JUMLAH]))</f>
        <v/>
      </c>
      <c r="L67" s="145" t="str">
        <f ca="1">IF(PAJAK[[#This Row],[//]]="","",SUMIF(NOTA[ID_H],PAJAK[[#This Row],[ID]],NOTA[DISC]))</f>
        <v/>
      </c>
      <c r="M67" s="145" t="e">
        <f ca="1">PAJAK[[#This Row],[SUB TOTAL]]-PAJAK[[#This Row],[DISKON]]</f>
        <v>#VALUE!</v>
      </c>
      <c r="N67" s="145" t="str">
        <f ca="1">IF(PAJAK[[#This Row],[//]]="","",INDEX(INDIRECT("NOTA["&amp;PAJAK[#Headers]&amp;"]"),PAJAK[[#This Row],[//]]-2+PAJAK[[#This Row],[QB]]-1))</f>
        <v/>
      </c>
      <c r="O67" s="145" t="e">
        <f ca="1">(PAJAK[[#This Row],[SUB T-DISC]]-PAJAK[[#This Row],[DISC DLL]])/111%</f>
        <v>#VALUE!</v>
      </c>
      <c r="P67" s="145" t="e">
        <f ca="1">PAJAK[[#This Row],[DPP]]*PAJAK[[#This Row],[PPN]]</f>
        <v>#VALUE!</v>
      </c>
      <c r="Q67" s="145" t="e">
        <f ca="1">PAJAK[[#This Row],[DPP]]+PAJAK[[#This Row],[PPN 11%]]</f>
        <v>#VALUE!</v>
      </c>
      <c r="R67" s="145" t="str">
        <f ca="1">IF(ISNUMBER(PAJAK[[#This Row],[//]]),PPN,"")</f>
        <v/>
      </c>
    </row>
    <row r="68" spans="1:18" s="146" customFormat="1" x14ac:dyDescent="0.25">
      <c r="A68" s="146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3" t="str">
        <f ca="1">HYPERLINK("[NOTA_.XLSX]NOTA!c"&amp;PAJAK[[#This Row],[//]],IF(PAJAK[[#This Row],[//]]="","",INDEX(INDIRECT("NOTA["&amp;PAJAK[#Headers]&amp;"]"),PAJAK[[#This Row],[//]]-2)))</f>
        <v/>
      </c>
      <c r="C68" s="146" t="str">
        <f ca="1">IF(PAJAK[[#This Row],[//]]="","",INDEX(INDIRECT("NOTA["&amp;PAJAK[#Headers]&amp;"]"),PAJAK[[#This Row],[//]]-2))</f>
        <v/>
      </c>
      <c r="D68" s="146" t="e">
        <f ca="1">MATCH(PAJAK[[#This Row],[ID]],[2]!Table1[ID],0)</f>
        <v>#REF!</v>
      </c>
      <c r="E68" s="174" t="str">
        <f ca="1">IF(PAJAK[[#This Row],[ID]]="","",COUNTIF(NOTA[ID_H],PAJAK[[#This Row],[ID]]))</f>
        <v/>
      </c>
      <c r="F68" s="142" t="str">
        <f ca="1">IF(PAJAK[[#This Row],[//]]="","",INDEX(CONV[2],MATCH(INDEX(INDIRECT("NOTA["&amp;PAJAK[#Headers]&amp;"]"),PAJAK[[#This Row],[//]]-2),CONV[1],0),0))</f>
        <v/>
      </c>
      <c r="G68" s="144" t="str">
        <f ca="1">IF(PAJAK[[#This Row],[//]]="","",INDEX(NOTA[TGL_H],PAJAK[[#This Row],[//]]-2))</f>
        <v/>
      </c>
      <c r="H68" s="144" t="str">
        <f ca="1">IF(PAJAK[[#This Row],[//]]="","",INDEX(INDIRECT("NOTA["&amp;PAJAK[#Headers]&amp;"]"),PAJAK[[#This Row],[//]]-2))</f>
        <v/>
      </c>
      <c r="I68" s="143" t="str">
        <f ca="1">IF(PAJAK[[#This Row],[//]]="","",INDEX(INDIRECT("NOTA["&amp;PAJAK[#Headers]&amp;"]"),PAJAK[[#This Row],[//]]-2))</f>
        <v/>
      </c>
      <c r="J68" s="142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5" t="str">
        <f ca="1">IF(PAJAK[[#This Row],[//]]="","",SUMIF(NOTA[ID_H],PAJAK[[#This Row],[ID]],NOTA[JUMLAH]))</f>
        <v/>
      </c>
      <c r="L68" s="145" t="str">
        <f ca="1">IF(PAJAK[[#This Row],[//]]="","",SUMIF(NOTA[ID_H],PAJAK[[#This Row],[ID]],NOTA[DISC]))</f>
        <v/>
      </c>
      <c r="M68" s="145" t="e">
        <f ca="1">PAJAK[[#This Row],[SUB TOTAL]]-PAJAK[[#This Row],[DISKON]]</f>
        <v>#VALUE!</v>
      </c>
      <c r="N68" s="145" t="str">
        <f ca="1">IF(PAJAK[[#This Row],[//]]="","",INDEX(INDIRECT("NOTA["&amp;PAJAK[#Headers]&amp;"]"),PAJAK[[#This Row],[//]]-2+PAJAK[[#This Row],[QB]]-1))</f>
        <v/>
      </c>
      <c r="O68" s="145" t="e">
        <f ca="1">(PAJAK[[#This Row],[SUB T-DISC]]-PAJAK[[#This Row],[DISC DLL]])/111%</f>
        <v>#VALUE!</v>
      </c>
      <c r="P68" s="145" t="e">
        <f ca="1">PAJAK[[#This Row],[DPP]]*PAJAK[[#This Row],[PPN]]</f>
        <v>#VALUE!</v>
      </c>
      <c r="Q68" s="145" t="e">
        <f ca="1">PAJAK[[#This Row],[DPP]]+PAJAK[[#This Row],[PPN 11%]]</f>
        <v>#VALUE!</v>
      </c>
      <c r="R68" s="145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9" t="str">
        <f ca="1">IF(KENKO[[#This Row],[//PAJAK]]="","",INDEX(INDIRECT("PAJAK["&amp;KENKO[#Headers]&amp;"]"),KENKO[[#This Row],[//PAJAK]]-1))</f>
        <v>22100048</v>
      </c>
      <c r="H3" s="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9" t="str">
        <f ca="1">IF(KENKO[[#This Row],[//PAJAK]]="","",INDEX(INDIRECT("PAJAK["&amp;KENKO[#Headers]&amp;"]"),KENKO[[#This Row],[//PAJAK]]-1))</f>
        <v>22100037</v>
      </c>
      <c r="H5" s="3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9" t="str">
        <f ca="1">IF(KENKO[[#This Row],[//PAJAK]]="","",INDEX(INDIRECT("PAJAK["&amp;KENKO[#Headers]&amp;"]"),KENKO[[#This Row],[//PAJAK]]-1))</f>
        <v>22100289</v>
      </c>
      <c r="H8" s="3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46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13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62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7">
        <f ca="1">HYPERLINK("[NOTA_.xlsx]PAJAK!b"&amp;KENKO[[#This Row],[//PAJAK]],IF(KENKO[[#This Row],[//PAJAK]]="","",INDEX(INDIRECT("PAJAK["&amp;KENKO[#Headers]&amp;"]"),KENKO[[#This Row],[//PAJAK]]-1)))</f>
        <v>16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9" t="str">
        <f ca="1">IF(KENKO[[#This Row],[//PAJAK]]="","",INDEX(INDIRECT("PAJAK["&amp;KENKO[#Headers]&amp;"]"),KENKO[[#This Row],[//PAJAK]]-1))</f>
        <v>22100470</v>
      </c>
      <c r="H12" s="3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66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13">
        <f ca="1">HYPERLINK("[NOTA_.xlsx]PAJAK!b"&amp;KENKO[[#This Row],[//PAJAK]],IF(KENKO[[#This Row],[//PAJAK]]="","",INDEX(INDIRECT("PAJAK["&amp;KENKO[#Headers]&amp;"]"),KENKO[[#This Row],[//PAJAK]]-1)))</f>
        <v>17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6" t="str">
        <f ca="1">IF(KENKO[[#This Row],[//PAJAK]]="","",INDEX(INDIRECT("PAJAK["&amp;KENKO[#Headers]&amp;"]"),KENKO[[#This Row],[//PAJAK]]-1))</f>
        <v>22100469</v>
      </c>
      <c r="H1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77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13">
        <f ca="1">HYPERLINK("[NOTA_.xlsx]PAJAK!b"&amp;KENKO[[#This Row],[//PAJAK]],IF(KENKO[[#This Row],[//PAJAK]]="","",INDEX(INDIRECT("PAJAK["&amp;KENKO[#Headers]&amp;"]"),KENKO[[#This Row],[//PAJAK]]-1)))</f>
        <v>18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6" t="str">
        <f ca="1">IF(KENKO[[#This Row],[//PAJAK]]="","",INDEX(INDIRECT("PAJAK["&amp;KENKO[#Headers]&amp;"]"),KENKO[[#This Row],[//PAJAK]]-1))</f>
        <v>22100423</v>
      </c>
      <c r="H14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123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13">
        <f ca="1">HYPERLINK("[NOTA_.xlsx]PAJAK!b"&amp;KENKO[[#This Row],[//PAJAK]],IF(KENKO[[#This Row],[//PAJAK]]="","",INDEX(INDIRECT("PAJAK["&amp;KENKO[#Headers]&amp;"]"),KENKO[[#This Row],[//PAJAK]]-1)))</f>
        <v>31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6" t="str">
        <f ca="1">IF(KENKO[[#This Row],[//PAJAK]]="","",INDEX(INDIRECT("PAJAK["&amp;KENKO[#Headers]&amp;"]"),KENKO[[#This Row],[//PAJAK]]-1))</f>
        <v>22100534</v>
      </c>
      <c r="H15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184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3">
        <f ca="1">HYPERLINK("[NOTA_.xlsx]PAJAK!b"&amp;KENKO[[#This Row],[//PAJAK]],IF(KENKO[[#This Row],[//PAJAK]]="","",INDEX(INDIRECT("PAJAK["&amp;KENKO[#Headers]&amp;"]"),KENKO[[#This Row],[//PAJAK]]-1)))</f>
        <v>45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6" t="str">
        <f ca="1">IF(KENKO[[#This Row],[//PAJAK]]="","",INDEX(INDIRECT("PAJAK["&amp;KENKO[#Headers]&amp;"]"),KENKO[[#This Row],[//PAJAK]]-1))</f>
        <v>22100766</v>
      </c>
      <c r="H17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236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3">
        <f ca="1">HYPERLINK("[NOTA_.xlsx]PAJAK!b"&amp;KENKO[[#This Row],[//PAJAK]],IF(KENKO[[#This Row],[//PAJAK]]="","",INDEX(INDIRECT("PAJAK["&amp;KENKO[#Headers]&amp;"]"),KENKO[[#This Row],[//PAJAK]]-1)))</f>
        <v>56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6" t="str">
        <f ca="1">IF(KENKO[[#This Row],[//PAJAK]]="","",INDEX(INDIRECT("PAJAK["&amp;KENKO[#Headers]&amp;"]"),KENKO[[#This Row],[//PAJAK]]-1))</f>
        <v>22101116</v>
      </c>
      <c r="H19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332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78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44856</v>
      </c>
      <c r="F20" s="2">
        <f ca="1">IF(KENKO[[#This Row],[//PAJAK]]="","",INDEX(INDIRECT("PAJAK["&amp;KENKO[#Headers]&amp;"]"),KENKO[[#This Row],[//PAJAK]]-1))</f>
        <v>44851</v>
      </c>
      <c r="G20" s="9" t="str">
        <f ca="1">IF(KENKO[[#This Row],[//PAJAK]]="","",INDEX(INDIRECT("PAJAK["&amp;KENKO[#Headers]&amp;"]"),KENKO[[#This Row],[//PAJAK]]-1))</f>
        <v>22101338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16626000</v>
      </c>
      <c r="J20" s="1">
        <f ca="1">IF(KENKO[[#This Row],[//PAJAK]]="","",INDEX(INDIRECT("PAJAK["&amp;KENKO[#Headers]&amp;"]"),KENKO[[#This Row],[//PAJAK]]-1))</f>
        <v>2826420</v>
      </c>
      <c r="K20" s="1">
        <f ca="1">(KENKO[[#This Row],[SUB TOTAL]]-KENKO[[#This Row],[DISKON]])/1.11</f>
        <v>12432054.054054054</v>
      </c>
      <c r="L20" s="1">
        <f ca="1">KENKO[[#This Row],[DPP]]*11%</f>
        <v>1367525.9459459458</v>
      </c>
      <c r="M20" s="1">
        <f ca="1">KENKO[[#This Row],[DPP]]+KENKO[[#This Row],[PPN (11%)]]</f>
        <v>13799580</v>
      </c>
      <c r="N20" s="1" t="str">
        <f ca="1">INDEX(PAJAK[ID_P],MATCH(KENKO[[#This Row],[ID]],PAJAK[ID],0))</f>
        <v>KEN_2210_338-5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338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79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44856</v>
      </c>
      <c r="F21" s="2">
        <f ca="1">IF(KENKO[[#This Row],[//PAJAK]]="","",INDEX(INDIRECT("PAJAK["&amp;KENKO[#Headers]&amp;"]"),KENKO[[#This Row],[//PAJAK]]-1))</f>
        <v>44853</v>
      </c>
      <c r="G21" s="9" t="str">
        <f ca="1">IF(KENKO[[#This Row],[//PAJAK]]="","",INDEX(INDIRECT("PAJAK["&amp;KENKO[#Headers]&amp;"]"),KENKO[[#This Row],[//PAJAK]]-1))</f>
        <v>22101484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45016800</v>
      </c>
      <c r="J21" s="1">
        <f ca="1">IF(KENKO[[#This Row],[//PAJAK]]="","",INDEX(INDIRECT("PAJAK["&amp;KENKO[#Headers]&amp;"]"),KENKO[[#This Row],[//PAJAK]]-1))</f>
        <v>7652856</v>
      </c>
      <c r="K21" s="1">
        <f ca="1">(KENKO[[#This Row],[SUB TOTAL]]-KENKO[[#This Row],[DISKON]])/1.11</f>
        <v>33661210.810810804</v>
      </c>
      <c r="L21" s="1">
        <f ca="1">KENKO[[#This Row],[DPP]]*11%</f>
        <v>3702733.1891891886</v>
      </c>
      <c r="M21" s="1">
        <f ca="1">KENKO[[#This Row],[DPP]]+KENKO[[#This Row],[PPN (11%)]]</f>
        <v>37363943.999999993</v>
      </c>
      <c r="N21" s="1" t="str">
        <f ca="1">INDEX(PAJAK[ID_P],MATCH(KENKO[[#This Row],[ID]],PAJAK[ID],0))</f>
        <v>KEN_2210_484-11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93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44861</v>
      </c>
      <c r="F22" s="2">
        <f ca="1">IF(KENKO[[#This Row],[//PAJAK]]="","",INDEX(INDIRECT("PAJAK["&amp;KENKO[#Headers]&amp;"]"),KENKO[[#This Row],[//PAJAK]]-1))</f>
        <v>44854</v>
      </c>
      <c r="G22" s="9" t="str">
        <f ca="1">IF(KENKO[[#This Row],[//PAJAK]]="","",INDEX(INDIRECT("PAJAK["&amp;KENKO[#Headers]&amp;"]"),KENKO[[#This Row],[//PAJAK]]-1))</f>
        <v>22101602</v>
      </c>
      <c r="H22" s="3" t="str">
        <f ca="1">IF(KENKO[[#This Row],[//PAJAK]]="","",INDEX(INDIRECT("PAJAK["&amp;KENKO[#Headers]&amp;"]"),KENKO[[#This Row],[//PAJAK]]-1))</f>
        <v>SA 37763</v>
      </c>
      <c r="I22" s="1">
        <f ca="1">IF(KENKO[[#This Row],[//PAJAK]]="","",INDEX(INDIRECT("PAJAK["&amp;KENKO[#Headers]&amp;"]"),KENKO[[#This Row],[//PAJAK]]-1))</f>
        <v>50158000</v>
      </c>
      <c r="J22" s="1">
        <f ca="1">IF(KENKO[[#This Row],[//PAJAK]]="","",INDEX(INDIRECT("PAJAK["&amp;KENKO[#Headers]&amp;"]"),KENKO[[#This Row],[//PAJAK]]-1))</f>
        <v>8526860</v>
      </c>
      <c r="K22" s="1">
        <f ca="1">(KENKO[[#This Row],[SUB TOTAL]]-KENKO[[#This Row],[DISKON]])/1.11</f>
        <v>37505531.531531528</v>
      </c>
      <c r="L22" s="1">
        <f ca="1">KENKO[[#This Row],[DPP]]*11%</f>
        <v>4125608.4684684682</v>
      </c>
      <c r="M22" s="1">
        <f ca="1">KENKO[[#This Row],[DPP]]+KENKO[[#This Row],[PPN (11%)]]</f>
        <v>41631139.999999993</v>
      </c>
      <c r="N22" s="1" t="str">
        <f ca="1">INDEX(PAJAK[ID_P],MATCH(KENKO[[#This Row],[ID]],PAJAK[ID],0))</f>
        <v>KEN_2710_602-7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94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44861</v>
      </c>
      <c r="F23" s="2">
        <f ca="1">IF(KENKO[[#This Row],[//PAJAK]]="","",INDEX(INDIRECT("PAJAK["&amp;KENKO[#Headers]&amp;"]"),KENKO[[#This Row],[//PAJAK]]-1))</f>
        <v>44854</v>
      </c>
      <c r="G23" s="9" t="str">
        <f ca="1">IF(KENKO[[#This Row],[//PAJAK]]="","",INDEX(INDIRECT("PAJAK["&amp;KENKO[#Headers]&amp;"]"),KENKO[[#This Row],[//PAJAK]]-1))</f>
        <v>22101616</v>
      </c>
      <c r="H23" s="3" t="str">
        <f ca="1">IF(KENKO[[#This Row],[//PAJAK]]="","",INDEX(INDIRECT("PAJAK["&amp;KENKO[#Headers]&amp;"]"),KENKO[[#This Row],[//PAJAK]]-1))</f>
        <v>SA 37780</v>
      </c>
      <c r="I23" s="1">
        <f ca="1">IF(KENKO[[#This Row],[//PAJAK]]="","",INDEX(INDIRECT("PAJAK["&amp;KENKO[#Headers]&amp;"]"),KENKO[[#This Row],[//PAJAK]]-1))</f>
        <v>14843600</v>
      </c>
      <c r="J23" s="1">
        <f ca="1">IF(KENKO[[#This Row],[//PAJAK]]="","",INDEX(INDIRECT("PAJAK["&amp;KENKO[#Headers]&amp;"]"),KENKO[[#This Row],[//PAJAK]]-1))</f>
        <v>2523412</v>
      </c>
      <c r="K23" s="1">
        <f ca="1">(KENKO[[#This Row],[SUB TOTAL]]-KENKO[[#This Row],[DISKON]])/1.11</f>
        <v>11099268.468468467</v>
      </c>
      <c r="L23" s="1">
        <f ca="1">KENKO[[#This Row],[DPP]]*11%</f>
        <v>1220919.5315315314</v>
      </c>
      <c r="M23" s="1">
        <f ca="1">KENKO[[#This Row],[DPP]]+KENKO[[#This Row],[PPN (11%)]]</f>
        <v>12320187.999999998</v>
      </c>
      <c r="N23" s="1" t="str">
        <f ca="1">INDEX(PAJAK[ID_P],MATCH(KENKO[[#This Row],[ID]],PAJAK[ID],0))</f>
        <v>KEN_2710_616-6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427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95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44861</v>
      </c>
      <c r="F24" s="2">
        <f ca="1">IF(KENKO[[#This Row],[//PAJAK]]="","",INDEX(INDIRECT("PAJAK["&amp;KENKO[#Headers]&amp;"]"),KENKO[[#This Row],[//PAJAK]]-1))</f>
        <v>44855</v>
      </c>
      <c r="G24" s="9" t="str">
        <f ca="1">IF(KENKO[[#This Row],[//PAJAK]]="","",INDEX(INDIRECT("PAJAK["&amp;KENKO[#Headers]&amp;"]"),KENKO[[#This Row],[//PAJAK]]-1))</f>
        <v>22101711</v>
      </c>
      <c r="H24" s="3" t="str">
        <f ca="1">IF(KENKO[[#This Row],[//PAJAK]]="","",INDEX(INDIRECT("PAJAK["&amp;KENKO[#Headers]&amp;"]"),KENKO[[#This Row],[//PAJAK]]-1))</f>
        <v>SA 37789</v>
      </c>
      <c r="I24" s="1">
        <f ca="1">IF(KENKO[[#This Row],[//PAJAK]]="","",INDEX(INDIRECT("PAJAK["&amp;KENKO[#Headers]&amp;"]"),KENKO[[#This Row],[//PAJAK]]-1))</f>
        <v>11620800</v>
      </c>
      <c r="J24" s="1">
        <f ca="1">IF(KENKO[[#This Row],[//PAJAK]]="","",INDEX(INDIRECT("PAJAK["&amp;KENKO[#Headers]&amp;"]"),KENKO[[#This Row],[//PAJAK]]-1))</f>
        <v>1975536</v>
      </c>
      <c r="K24" s="1">
        <f ca="1">(KENKO[[#This Row],[SUB TOTAL]]-KENKO[[#This Row],[DISKON]])/1.11</f>
        <v>8689427.0270270258</v>
      </c>
      <c r="L24" s="1">
        <f ca="1">KENKO[[#This Row],[DPP]]*11%</f>
        <v>955836.9729729729</v>
      </c>
      <c r="M24" s="1">
        <f ca="1">KENKO[[#This Row],[DPP]]+KENKO[[#This Row],[PPN (11%)]]</f>
        <v>9645263.9999999981</v>
      </c>
      <c r="N24" s="1" t="str">
        <f ca="1">INDEX(PAJAK[ID_P],MATCH(KENKO[[#This Row],[ID]],PAJAK[ID],0))</f>
        <v>KEN_2710_711-2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445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51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44862</v>
      </c>
      <c r="F25" s="2">
        <f ca="1">IF(KENKO[[#This Row],[//PAJAK]]="","",INDEX(INDIRECT("PAJAK["&amp;KENKO[#Headers]&amp;"]"),KENKO[[#This Row],[//PAJAK]]-1))</f>
        <v>44858</v>
      </c>
      <c r="G25" s="9" t="str">
        <f ca="1">IF(KENKO[[#This Row],[//PAJAK]]="","",INDEX(INDIRECT("PAJAK["&amp;KENKO[#Headers]&amp;"]"),KENKO[[#This Row],[//PAJAK]]-1))</f>
        <v>22101889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19045200</v>
      </c>
      <c r="J25" s="1">
        <f ca="1">IF(KENKO[[#This Row],[//PAJAK]]="","",INDEX(INDIRECT("PAJAK["&amp;KENKO[#Headers]&amp;"]"),KENKO[[#This Row],[//PAJAK]]-1))</f>
        <v>3237684</v>
      </c>
      <c r="K25" s="1">
        <f ca="1">(KENKO[[#This Row],[SUB TOTAL]]-KENKO[[#This Row],[DISKON]])/1.11</f>
        <v>14241005.405405404</v>
      </c>
      <c r="L25" s="1">
        <f ca="1">KENKO[[#This Row],[DPP]]*11%</f>
        <v>1566510.5945945946</v>
      </c>
      <c r="M25" s="1">
        <f ca="1">KENKO[[#This Row],[DPP]]+KENKO[[#This Row],[PPN (11%)]]</f>
        <v>15807515.999999998</v>
      </c>
      <c r="N25" s="1" t="str">
        <f ca="1">INDEX(PAJAK[ID_P],MATCH(KENKO[[#This Row],[ID]],PAJAK[ID],0))</f>
        <v>KEN_2810_889-4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450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52</v>
      </c>
      <c r="C26" s="7">
        <f ca="1">HYPERLINK("[NOTA_.xlsx]PAJAK!b"&amp;KENKO[[#This Row],[//PAJAK]],IF(KENKO[[#This Row],[//PAJAK]]="","",INDEX(INDIRECT("PAJAK["&amp;KENKO[#Headers]&amp;"]"),KENKO[[#This Row],[//PAJAK]]-1)))</f>
        <v>102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44862</v>
      </c>
      <c r="F26" s="2">
        <f ca="1">IF(KENKO[[#This Row],[//PAJAK]]="","",INDEX(INDIRECT("PAJAK["&amp;KENKO[#Headers]&amp;"]"),KENKO[[#This Row],[//PAJAK]]-1))</f>
        <v>44859</v>
      </c>
      <c r="G26" s="9" t="str">
        <f ca="1">IF(KENKO[[#This Row],[//PAJAK]]="","",INDEX(INDIRECT("PAJAK["&amp;KENKO[#Headers]&amp;"]"),KENKO[[#This Row],[//PAJAK]]-1))</f>
        <v>22101993</v>
      </c>
      <c r="H26" s="3" t="str">
        <f ca="1">IF(KENKO[[#This Row],[//PAJAK]]="","",INDEX(INDIRECT("PAJAK["&amp;KENKO[#Headers]&amp;"]"),KENKO[[#This Row],[//PAJAK]]-1))</f>
        <v>SA 37848</v>
      </c>
      <c r="I26" s="1">
        <f ca="1">IF(KENKO[[#This Row],[//PAJAK]]="","",INDEX(INDIRECT("PAJAK["&amp;KENKO[#Headers]&amp;"]"),KENKO[[#This Row],[//PAJAK]]-1))</f>
        <v>57571200</v>
      </c>
      <c r="J26" s="1">
        <f ca="1">IF(KENKO[[#This Row],[//PAJAK]]="","",INDEX(INDIRECT("PAJAK["&amp;KENKO[#Headers]&amp;"]"),KENKO[[#This Row],[//PAJAK]]-1))</f>
        <v>9787104</v>
      </c>
      <c r="K26" s="1">
        <f ca="1">(KENKO[[#This Row],[SUB TOTAL]]-KENKO[[#This Row],[DISKON]])/1.11</f>
        <v>43048735.135135129</v>
      </c>
      <c r="L26" s="1">
        <f ca="1">KENKO[[#This Row],[DPP]]*11%</f>
        <v>4735360.8648648644</v>
      </c>
      <c r="M26" s="1">
        <f ca="1">KENKO[[#This Row],[DPP]]+KENKO[[#This Row],[PPN (11%)]]</f>
        <v>47784095.999999993</v>
      </c>
      <c r="N26" s="1" t="str">
        <f ca="1">INDEX(PAJAK[ID_P],MATCH(KENKO[[#This Row],[ID]],PAJAK[ID],0))</f>
        <v>KEN_2810_993-8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505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53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44863</v>
      </c>
      <c r="F27" s="2">
        <f ca="1">IF(KENKO[[#This Row],[//PAJAK]]="","",INDEX(INDIRECT("PAJAK["&amp;KENKO[#Headers]&amp;"]"),KENKO[[#This Row],[//PAJAK]]-1))</f>
        <v>44859</v>
      </c>
      <c r="G27" s="9" t="str">
        <f ca="1">IF(KENKO[[#This Row],[//PAJAK]]="","",INDEX(INDIRECT("PAJAK["&amp;KENKO[#Headers]&amp;"]"),KENKO[[#This Row],[//PAJAK]]-1))</f>
        <v>22102070</v>
      </c>
      <c r="H27" s="3" t="str">
        <f ca="1">IF(KENKO[[#This Row],[//PAJAK]]="","",INDEX(INDIRECT("PAJAK["&amp;KENKO[#Headers]&amp;"]"),KENKO[[#This Row],[//PAJAK]]-1))</f>
        <v>SA 37878</v>
      </c>
      <c r="I27" s="1">
        <f ca="1">IF(KENKO[[#This Row],[//PAJAK]]="","",INDEX(INDIRECT("PAJAK["&amp;KENKO[#Headers]&amp;"]"),KENKO[[#This Row],[//PAJAK]]-1))</f>
        <v>30373800</v>
      </c>
      <c r="J27" s="1">
        <f ca="1">IF(KENKO[[#This Row],[//PAJAK]]="","",INDEX(INDIRECT("PAJAK["&amp;KENKO[#Headers]&amp;"]"),KENKO[[#This Row],[//PAJAK]]-1))</f>
        <v>5163546</v>
      </c>
      <c r="K27" s="1">
        <f ca="1">(KENKO[[#This Row],[SUB TOTAL]]-KENKO[[#This Row],[DISKON]])/1.11</f>
        <v>22711940.540540539</v>
      </c>
      <c r="L27" s="1">
        <f ca="1">KENKO[[#This Row],[DPP]]*11%</f>
        <v>2498313.4594594594</v>
      </c>
      <c r="M27" s="1">
        <f ca="1">KENKO[[#This Row],[DPP]]+KENKO[[#This Row],[PPN (11%)]]</f>
        <v>25210254</v>
      </c>
      <c r="N27" s="1" t="str">
        <f ca="1">INDEX(PAJAK[ID_P],MATCH(KENKO[[#This Row],[ID]],PAJAK[ID],0))</f>
        <v>KEN_2910_070-7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513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54</v>
      </c>
      <c r="C28" s="7">
        <f ca="1">HYPERLINK("[NOTA_.xlsx]PAJAK!b"&amp;KENKO[[#This Row],[//PAJAK]],IF(KENKO[[#This Row],[//PAJAK]]="","",INDEX(INDIRECT("PAJAK["&amp;KENKO[#Headers]&amp;"]"),KENKO[[#This Row],[//PAJAK]]-1)))</f>
        <v>117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44863</v>
      </c>
      <c r="F28" s="2">
        <f ca="1">IF(KENKO[[#This Row],[//PAJAK]]="","",INDEX(INDIRECT("PAJAK["&amp;KENKO[#Headers]&amp;"]"),KENKO[[#This Row],[//PAJAK]]-1))</f>
        <v>44861</v>
      </c>
      <c r="G28" s="9" t="str">
        <f ca="1">IF(KENKO[[#This Row],[//PAJAK]]="","",INDEX(INDIRECT("PAJAK["&amp;KENKO[#Headers]&amp;"]"),KENKO[[#This Row],[//PAJAK]]-1))</f>
        <v>22102155</v>
      </c>
      <c r="H28" s="3" t="str">
        <f ca="1">IF(KENKO[[#This Row],[//PAJAK]]="","",INDEX(INDIRECT("PAJAK["&amp;KENKO[#Headers]&amp;"]"),KENKO[[#This Row],[//PAJAK]]-1))</f>
        <v>SA 37839</v>
      </c>
      <c r="I28" s="1">
        <f ca="1">IF(KENKO[[#This Row],[//PAJAK]]="","",INDEX(INDIRECT("PAJAK["&amp;KENKO[#Headers]&amp;"]"),KENKO[[#This Row],[//PAJAK]]-1))</f>
        <v>26289200</v>
      </c>
      <c r="J28" s="1">
        <f ca="1">IF(KENKO[[#This Row],[//PAJAK]]="","",INDEX(INDIRECT("PAJAK["&amp;KENKO[#Headers]&amp;"]"),KENKO[[#This Row],[//PAJAK]]-1))</f>
        <v>4469164</v>
      </c>
      <c r="K28" s="1">
        <f ca="1">(KENKO[[#This Row],[SUB TOTAL]]-KENKO[[#This Row],[DISKON]])/1.11</f>
        <v>19657690.090090089</v>
      </c>
      <c r="L28" s="1">
        <f ca="1">KENKO[[#This Row],[DPP]]*11%</f>
        <v>2162345.9099099096</v>
      </c>
      <c r="M28" s="1">
        <f ca="1">KENKO[[#This Row],[DPP]]+KENKO[[#This Row],[PPN (11%)]]</f>
        <v>21820036</v>
      </c>
      <c r="N28" s="1" t="str">
        <f ca="1">INDEX(PAJAK[ID_P],MATCH(KENKO[[#This Row],[ID]],PAJAK[ID],0))</f>
        <v>KEN_2910_155-9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4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350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80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44856</v>
      </c>
      <c r="F15" s="2">
        <f ca="1">IF(ATALI[[#This Row],[//PAJAK]]="","",INDEX(INDIRECT("PAJAK["&amp;ATALI[#Headers]&amp;"]"),ATALI[[#This Row],[//PAJAK]]-1))</f>
        <v>44852</v>
      </c>
      <c r="G15" s="5" t="str">
        <f ca="1">IF(ATALI[[#This Row],[//PAJAK]]="","",INDEX(INDIRECT("PAJAK["&amp;ATALI[#Headers]&amp;"]"),ATALI[[#This Row],[//PAJAK]]-1))</f>
        <v>SA221016532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11088922.5</v>
      </c>
      <c r="J15" s="1">
        <f ca="1">IF(ATALI[[#This Row],[//PAJAK]]="","",INDEX(PAJAK[DISC DLL],ATALI[[#This Row],[//PAJAK]]-1))</f>
        <v>241600</v>
      </c>
      <c r="K15" s="1">
        <f ca="1">(ATALI[[#This Row],[SUB TOTAL]]-ATALI[[#This Row],[DISKON]])/1.11</f>
        <v>9772362.6126126125</v>
      </c>
      <c r="L15" s="1">
        <f ca="1">ATALI[[#This Row],[DPP]]*11%</f>
        <v>1074959.8873873875</v>
      </c>
      <c r="M15" s="1">
        <f ca="1">ATALI[[#This Row],[DPP]]+ATALI[[#This Row],[PPN (11%)]]</f>
        <v>10847322.5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357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44853</v>
      </c>
      <c r="G16" s="5" t="str">
        <f ca="1">IF(ATALI[[#This Row],[//PAJAK]]="","",INDEX(INDIRECT("PAJAK["&amp;ATALI[#Headers]&amp;"]"),ATALI[[#This Row],[//PAJAK]]-1))</f>
        <v>SA221016587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35831862.5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32280957.207207203</v>
      </c>
      <c r="L16" s="1">
        <f ca="1">ATALI[[#This Row],[DPP]]*11%</f>
        <v>3550905.2927927924</v>
      </c>
      <c r="M16" s="1">
        <f ca="1">ATALI[[#This Row],[DPP]]+ATALI[[#This Row],[PPN (11%)]]</f>
        <v>35831862.499999993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369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35435522.5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31923894.14414414</v>
      </c>
      <c r="L17" s="1">
        <f ca="1">ATALI[[#This Row],[DPP]]*11%</f>
        <v>3511628.3558558556</v>
      </c>
      <c r="M17" s="1">
        <f ca="1">ATALI[[#This Row],[DPP]]+ATALI[[#This Row],[PPN (11%)]]</f>
        <v>35435522.499999993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382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3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SA221016590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14579460</v>
      </c>
      <c r="J18" s="1">
        <f ca="1">IF(ATALI[[#This Row],[//PAJAK]]="","",INDEX(PAJAK[DISC DLL],ATALI[[#This Row],[//PAJAK]]-1))</f>
        <v>215460</v>
      </c>
      <c r="K18" s="1">
        <f ca="1">(ATALI[[#This Row],[SUB TOTAL]]-ATALI[[#This Row],[DISKON]])/1.11</f>
        <v>12940540.540540539</v>
      </c>
      <c r="L18" s="1">
        <f ca="1">ATALI[[#This Row],[DPP]]*11%</f>
        <v>1423459.4594594592</v>
      </c>
      <c r="M18" s="1">
        <f ca="1">ATALI[[#This Row],[DPP]]+ATALI[[#This Row],[PPN (11%)]]</f>
        <v>14363999.999999998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385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42</v>
      </c>
      <c r="C19" s="13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44854</v>
      </c>
      <c r="G19" s="7" t="str">
        <f ca="1">IF(ATALI[[#This Row],[//PAJAK]]="","",INDEX(INDIRECT("PAJAK["&amp;ATALI[#Headers]&amp;"]"),ATALI[[#This Row],[//PAJAK]]-1))</f>
        <v>SA221016643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17631810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15884513.513513513</v>
      </c>
      <c r="L19" s="1">
        <f ca="1">ATALI[[#This Row],[DPP]]*11%</f>
        <v>1747296.4864864864</v>
      </c>
      <c r="M19" s="1">
        <f ca="1">ATALI[[#This Row],[DPP]]+ATALI[[#This Row],[PPN (11%)]]</f>
        <v>17631810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392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44</v>
      </c>
      <c r="C20" s="13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44858</v>
      </c>
      <c r="F20" s="2">
        <f ca="1">IF(ATALI[[#This Row],[//PAJAK]]="","",INDEX(INDIRECT("PAJAK["&amp;ATALI[#Headers]&amp;"]"),ATALI[[#This Row],[//PAJAK]]-1))</f>
        <v>44855</v>
      </c>
      <c r="G20" s="7" t="str">
        <f ca="1">IF(ATALI[[#This Row],[//PAJAK]]="","",INDEX(INDIRECT("PAJAK["&amp;ATALI[#Headers]&amp;"]"),ATALI[[#This Row],[//PAJAK]]-1))</f>
        <v>SA221016685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8241843.75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7425084.4594594585</v>
      </c>
      <c r="L20" s="1">
        <f ca="1">ATALI[[#This Row],[DPP]]*11%</f>
        <v>816759.29054054047</v>
      </c>
      <c r="M20" s="1">
        <f ca="1">ATALI[[#This Row],[DPP]]+ATALI[[#This Row],[PPN (11%)]]</f>
        <v>8241843.7499999991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49</v>
      </c>
      <c r="C21" s="13">
        <f ca="1">HYPERLINK("[NOTA_.xlsx]PAJAK!b"&amp;ATALI[[#This Row],[//PAJAK]],IF(ATALI[[#This Row],[//PAJAK]]="","",INDEX(INDIRECT("PAJAK["&amp;ATALI[#Headers]&amp;"]"),ATALI[[#This Row],[//PAJAK]]-1)))</f>
        <v>99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44862</v>
      </c>
      <c r="F21" s="2">
        <f ca="1">IF(ATALI[[#This Row],[//PAJAK]]="","",INDEX(INDIRECT("PAJAK["&amp;ATALI[#Headers]&amp;"]"),ATALI[[#This Row],[//PAJAK]]-1))</f>
        <v>44858</v>
      </c>
      <c r="G21" s="7" t="str">
        <f ca="1">IF(ATALI[[#This Row],[//PAJAK]]="","",INDEX(INDIRECT("PAJAK["&amp;ATALI[#Headers]&amp;"]"),ATALI[[#This Row],[//PAJAK]]-1))</f>
        <v>SA221016883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70473375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63489527.027027018</v>
      </c>
      <c r="L21" s="1">
        <f ca="1">ATALI[[#This Row],[DPP]]*11%</f>
        <v>6983847.9729729723</v>
      </c>
      <c r="M21" s="1">
        <f ca="1">ATALI[[#This Row],[DPP]]+ATALI[[#This Row],[PPN (11%)]]</f>
        <v>70473374.999999985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439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50</v>
      </c>
      <c r="C22" s="13">
        <f ca="1">HYPERLINK("[NOTA_.xlsx]PAJAK!b"&amp;ATALI[[#This Row],[//PAJAK]],IF(ATALI[[#This Row],[//PAJAK]]="","",INDEX(INDIRECT("PAJAK["&amp;ATALI[#Headers]&amp;"]"),ATALI[[#This Row],[//PAJAK]]-1)))</f>
        <v>100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SA221016937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5835375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5257094.5945945941</v>
      </c>
      <c r="L22" s="1">
        <f ca="1">ATALI[[#This Row],[DPP]]*11%</f>
        <v>578280.40540540533</v>
      </c>
      <c r="M22" s="1">
        <f ca="1">ATALI[[#This Row],[DPP]]+ATALI[[#This Row],[PPN (11%)]]</f>
        <v>5835374.9999999991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523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55</v>
      </c>
      <c r="C23" s="13">
        <f ca="1">HYPERLINK("[NOTA_.xlsx]PAJAK!b"&amp;ATALI[[#This Row],[//PAJAK]],IF(ATALI[[#This Row],[//PAJAK]]="","",INDEX(INDIRECT("PAJAK["&amp;ATALI[#Headers]&amp;"]"),ATALI[[#This Row],[//PAJAK]]-1)))</f>
        <v>118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44863</v>
      </c>
      <c r="F23" s="2">
        <f ca="1">IF(ATALI[[#This Row],[//PAJAK]]="","",INDEX(INDIRECT("PAJAK["&amp;ATALI[#Headers]&amp;"]"),ATALI[[#This Row],[//PAJAK]]-1))</f>
        <v>44860</v>
      </c>
      <c r="G23" s="7" t="str">
        <f ca="1">IF(ATALI[[#This Row],[//PAJAK]]="","",INDEX(INDIRECT("PAJAK["&amp;ATALI[#Headers]&amp;"]"),ATALI[[#This Row],[//PAJAK]]-1))</f>
        <v>SA221017041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13980960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12595459.459459458</v>
      </c>
      <c r="L23" s="1">
        <f ca="1">ATALI[[#This Row],[DPP]]*11%</f>
        <v>1385500.5405405404</v>
      </c>
      <c r="M23" s="1">
        <f ca="1">ATALI[[#This Row],[DPP]]+ATALI[[#This Row],[PPN (11%)]]</f>
        <v>13980959.999999998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526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56</v>
      </c>
      <c r="C24" s="13">
        <f ca="1">HYPERLINK("[NOTA_.xlsx]PAJAK!b"&amp;ATALI[[#This Row],[//PAJAK]],IF(ATALI[[#This Row],[//PAJAK]]="","",INDEX(INDIRECT("PAJAK["&amp;ATALI[#Headers]&amp;"]"),ATALI[[#This Row],[//PAJAK]]-1)))</f>
        <v>119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44859</v>
      </c>
      <c r="G24" s="7" t="str">
        <f ca="1">IF(ATALI[[#This Row],[//PAJAK]]="","",INDEX(INDIRECT("PAJAK["&amp;ATALI[#Headers]&amp;"]"),ATALI[[#This Row],[//PAJAK]]-1))</f>
        <v>SA221017008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22562868.125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20326908.22072072</v>
      </c>
      <c r="L24" s="1">
        <f ca="1">ATALI[[#This Row],[DPP]]*11%</f>
        <v>2235959.9042792791</v>
      </c>
      <c r="M24" s="1">
        <f ca="1">ATALI[[#This Row],[DPP]]+ATALI[[#This Row],[PPN (11%)]]</f>
        <v>22562868.125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554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57</v>
      </c>
      <c r="C25" s="13">
        <f ca="1">HYPERLINK("[NOTA_.xlsx]PAJAK!b"&amp;ATALI[[#This Row],[//PAJAK]],IF(ATALI[[#This Row],[//PAJAK]]="","",INDEX(INDIRECT("PAJAK["&amp;ATALI[#Headers]&amp;"]"),ATALI[[#This Row],[//PAJAK]]-1)))</f>
        <v>123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44861</v>
      </c>
      <c r="G25" s="7" t="str">
        <f ca="1">IF(ATALI[[#This Row],[//PAJAK]]="","",INDEX(INDIRECT("PAJAK["&amp;ATALI[#Headers]&amp;"]"),ATALI[[#This Row],[//PAJAK]]-1))</f>
        <v>SA221017097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4512690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4065486.4864864862</v>
      </c>
      <c r="L25" s="1">
        <f ca="1">ATALI[[#This Row],[DPP]]*11%</f>
        <v>447203.51351351349</v>
      </c>
      <c r="M25" s="1">
        <f ca="1">ATALI[[#This Row],[DPP]]+ATALI[[#This Row],[PPN (11%)]]</f>
        <v>4512690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564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58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44867</v>
      </c>
      <c r="F26" s="2">
        <f ca="1">IF(ATALI[[#This Row],[//PAJAK]]="","",INDEX(INDIRECT("PAJAK["&amp;ATALI[#Headers]&amp;"]"),ATALI[[#This Row],[//PAJAK]]-1))</f>
        <v>44863</v>
      </c>
      <c r="G26" s="7" t="str">
        <f ca="1">IF(ATALI[[#This Row],[//PAJAK]]="","",INDEX(INDIRECT("PAJAK["&amp;ATALI[#Headers]&amp;"]"),ATALI[[#This Row],[//PAJAK]]-1))</f>
        <v>SA221017209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4428900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3989999.9999999995</v>
      </c>
      <c r="L26" s="1">
        <f ca="1">ATALI[[#This Row],[DPP]]*11%</f>
        <v>438899.99999999994</v>
      </c>
      <c r="M26" s="1">
        <f ca="1">ATALI[[#This Row],[DPP]]+ATALI[[#This Row],[PPN (11%)]]</f>
        <v>4428899.9999999991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573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60</v>
      </c>
      <c r="C27" s="13">
        <f ca="1">HYPERLINK("[NOTA_.xlsx]PAJAK!b"&amp;ATALI[[#This Row],[//PAJAK]],IF(ATALI[[#This Row],[//PAJAK]]="","",INDEX(INDIRECT("PAJAK["&amp;ATALI[#Headers]&amp;"]"),ATALI[[#This Row],[//PAJAK]]-1)))</f>
        <v>128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44865</v>
      </c>
      <c r="G27" s="7" t="str">
        <f ca="1">IF(ATALI[[#This Row],[//PAJAK]]="","",INDEX(INDIRECT("PAJAK["&amp;ATALI[#Headers]&amp;"]"),ATALI[[#This Row],[//PAJAK]]-1))</f>
        <v>SA221017244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12688200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11430810.81081081</v>
      </c>
      <c r="L27" s="1">
        <f ca="1">ATALI[[#This Row],[DPP]]*11%</f>
        <v>1257389.1891891891</v>
      </c>
      <c r="M27" s="1">
        <f ca="1">ATALI[[#This Row],[DPP]]+ATALI[[#This Row],[PPN (11%)]]</f>
        <v>12688200</v>
      </c>
    </row>
    <row r="28" spans="1:13" x14ac:dyDescent="0.25">
      <c r="A28" s="14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389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43</v>
      </c>
      <c r="C5" s="13">
        <f ca="1">HYPERLINK("[NOTA_.xlsx]PAJAK!b"&amp;KALINDO[[#This Row],[//PAJAK]],IF(KALINDO[[#This Row],[//PAJAK]]="","",INDEX(INDIRECT("PAJAK["&amp;KALINDO[#Headers]&amp;"]"),KALINDO[[#This Row],[//PAJAK]]-1)))</f>
        <v>85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570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59</v>
      </c>
      <c r="C6" s="13">
        <f ca="1">HYPERLINK("[NOTA_.xlsx]PAJAK!b"&amp;KALINDO[[#This Row],[//PAJAK]],IF(KALINDO[[#This Row],[//PAJAK]]="","",INDEX(INDIRECT("PAJAK["&amp;KALINDO[#Headers]&amp;"]"),KALINDO[[#This Row],[//PAJAK]]-1)))</f>
        <v>127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C3" sqref="C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430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48</v>
      </c>
      <c r="C4" s="13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2022-11-07T02:34:30Z</dcterms:modified>
</cp:coreProperties>
</file>